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tec.sharepoint.com/sites/neoom/Daten/08_Produktmanagement/07_neoom APP/KLUUB/2. Kommunikation - Marketing/7. Kalkulatoren/"/>
    </mc:Choice>
  </mc:AlternateContent>
  <xr:revisionPtr revIDLastSave="0" documentId="8_{7B0C674E-16B3-4962-B0AF-BE8FF305C2CE}" xr6:coauthVersionLast="47" xr6:coauthVersionMax="47" xr10:uidLastSave="{00000000-0000-0000-0000-000000000000}"/>
  <workbookProtection workbookAlgorithmName="SHA-512" workbookHashValue="LJvSKtw6Rh4HJHqcG6nX3jBagRdwh4P1xCgGL97CWtiHboeHtw78dCnswb59fPrwVqqDk9Kawlxn0II3h1gyoA==" workbookSaltValue="Kwk31F4B4WFJX0iKUHm0sA==" workbookSpinCount="100000" lockStructure="1"/>
  <bookViews>
    <workbookView xWindow="-120" yWindow="-120" windowWidth="29040" windowHeight="15720" tabRatio="527" activeTab="1" xr2:uid="{00000000-000D-0000-FFFF-FFFF00000000}"/>
  </bookViews>
  <sheets>
    <sheet name="Kompakt2025" sheetId="5" r:id="rId1"/>
    <sheet name="Details2025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6" l="1"/>
  <c r="I5" i="6"/>
  <c r="I4" i="5"/>
  <c r="S27" i="5"/>
  <c r="T27" i="5" s="1"/>
  <c r="T26" i="5"/>
  <c r="S26" i="5"/>
  <c r="S25" i="5"/>
  <c r="T25" i="5" s="1"/>
  <c r="S24" i="5"/>
  <c r="T24" i="5" s="1"/>
  <c r="S23" i="5"/>
  <c r="T23" i="5" s="1"/>
  <c r="S22" i="5"/>
  <c r="T22" i="5" s="1"/>
  <c r="S21" i="5"/>
  <c r="T21" i="5" s="1"/>
  <c r="T20" i="5"/>
  <c r="S20" i="5"/>
  <c r="S19" i="5"/>
  <c r="T19" i="5" s="1"/>
  <c r="S18" i="5"/>
  <c r="T18" i="5" s="1"/>
  <c r="S17" i="5"/>
  <c r="T17" i="5" s="1"/>
  <c r="S16" i="5"/>
  <c r="T16" i="5" s="1"/>
  <c r="S15" i="5"/>
  <c r="T15" i="5" s="1"/>
  <c r="L29" i="5"/>
  <c r="O6" i="6"/>
  <c r="C19" i="5" l="1"/>
  <c r="C20" i="6"/>
  <c r="S28" i="6"/>
  <c r="T28" i="6" s="1"/>
  <c r="S27" i="6"/>
  <c r="T27" i="6" s="1"/>
  <c r="S26" i="6"/>
  <c r="T26" i="6" s="1"/>
  <c r="S25" i="6"/>
  <c r="T25" i="6" s="1"/>
  <c r="S24" i="6"/>
  <c r="T24" i="6" s="1"/>
  <c r="S23" i="6"/>
  <c r="T23" i="6" s="1"/>
  <c r="S22" i="6"/>
  <c r="T22" i="6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B20" i="5" l="1"/>
  <c r="O5" i="5" l="1"/>
  <c r="O5" i="6"/>
  <c r="B2" i="5" l="1"/>
  <c r="E6" i="6"/>
  <c r="E5" i="6"/>
  <c r="N5" i="6" s="1"/>
  <c r="N8" i="5"/>
  <c r="E5" i="5"/>
  <c r="P4" i="5" s="1"/>
  <c r="O4" i="5"/>
  <c r="E4" i="5"/>
  <c r="N4" i="5" s="1"/>
  <c r="P5" i="6" l="1"/>
  <c r="O16" i="6"/>
  <c r="O17" i="6"/>
  <c r="L4" i="5"/>
  <c r="L5" i="6"/>
  <c r="O7" i="6"/>
  <c r="O8" i="6" s="1"/>
  <c r="O6" i="5"/>
  <c r="O7" i="5" s="1"/>
  <c r="E6" i="5"/>
  <c r="O17" i="5" s="1"/>
  <c r="M5" i="6"/>
  <c r="P6" i="6" s="1"/>
  <c r="E7" i="6"/>
  <c r="O18" i="6" s="1"/>
  <c r="M4" i="5"/>
  <c r="P5" i="5" s="1"/>
  <c r="O19" i="6" l="1"/>
  <c r="P7" i="6"/>
  <c r="P6" i="5"/>
  <c r="O16" i="5"/>
  <c r="O15" i="5"/>
  <c r="I6" i="6" l="1"/>
  <c r="O18" i="5"/>
  <c r="N7" i="5" s="1"/>
  <c r="P7" i="5" s="1"/>
  <c r="N8" i="6"/>
  <c r="P8" i="6" s="1"/>
  <c r="I5" i="5" l="1"/>
  <c r="I6" i="5" s="1"/>
  <c r="P9" i="5" l="1"/>
  <c r="I7" i="6"/>
  <c r="P10" i="6"/>
</calcChain>
</file>

<file path=xl/sharedStrings.xml><?xml version="1.0" encoding="utf-8"?>
<sst xmlns="http://schemas.openxmlformats.org/spreadsheetml/2006/main" count="193" uniqueCount="91">
  <si>
    <t>neoom KLUUB EEG-Kalkulator</t>
  </si>
  <si>
    <t>Netzkosten
ersparnis**</t>
  </si>
  <si>
    <t>Erlöse für PV
Std-Einspeiser
Anteil</t>
  </si>
  <si>
    <t>Erlöse für PV
EEG-Anteil</t>
  </si>
  <si>
    <t>Stromkosten für
Std-Bezugstarif
(ohne Strompreisb.)</t>
  </si>
  <si>
    <t>Stromkosten für
EEG-Mitglied
(ohne Strompreisb.)</t>
  </si>
  <si>
    <t>EEG-Anteil*</t>
  </si>
  <si>
    <t>Stromkosten (Brutto)
inkl. Netzgebühren</t>
  </si>
  <si>
    <t>kWh</t>
  </si>
  <si>
    <t>%</t>
  </si>
  <si>
    <t>kWh
in/aus EEG</t>
  </si>
  <si>
    <t>€
 (ohne Strompreisbremse)</t>
  </si>
  <si>
    <t>Cent/kWh</t>
  </si>
  <si>
    <t>€/Jahr</t>
  </si>
  <si>
    <t>Überschuss PV-Anlage</t>
  </si>
  <si>
    <t>Stromkosten ohne EEG</t>
  </si>
  <si>
    <t>Kosten (Netto)</t>
  </si>
  <si>
    <t>Bezug vom Netz</t>
  </si>
  <si>
    <t>Stromkosten mit EEG</t>
  </si>
  <si>
    <t>Erlöse PV  (Brutto)</t>
  </si>
  <si>
    <t>Ersparnis/Jahr (Brutto)                  ca.:</t>
  </si>
  <si>
    <t>ohne Servicegebühren</t>
  </si>
  <si>
    <t>Summe EEG-Anteil</t>
  </si>
  <si>
    <r>
      <t>Servicebeitrag</t>
    </r>
    <r>
      <rPr>
        <sz val="9"/>
        <color theme="1"/>
        <rFont val="Titillium Web"/>
      </rPr>
      <t xml:space="preserve"> (Jahr)</t>
    </r>
  </si>
  <si>
    <t>abzüglich Servicegebühren
zuzüglich Netzgebührersparnis</t>
  </si>
  <si>
    <t xml:space="preserve">* die genaue Kostenersparnis ist abhängig vom Energie-Anteil aus/in EEG; </t>
  </si>
  <si>
    <t>Video Anleitung Bedienung Kalkulator</t>
  </si>
  <si>
    <r>
      <t xml:space="preserve">Betriebskosten </t>
    </r>
    <r>
      <rPr>
        <sz val="9"/>
        <color theme="1"/>
        <rFont val="Titillium Web"/>
      </rPr>
      <t>(Jahr)</t>
    </r>
  </si>
  <si>
    <t>EEG-Ersparnis (Netto)</t>
  </si>
  <si>
    <t>1,4 ct/kWh (Ende Aussetzung Energieabgabe)</t>
  </si>
  <si>
    <t>Tarife und Netz</t>
  </si>
  <si>
    <t>Arbeitspreis (netto)</t>
  </si>
  <si>
    <t xml:space="preserve">Anleitung: </t>
  </si>
  <si>
    <t>EINGABE-FELD</t>
  </si>
  <si>
    <t>Servicebeitrag je kWh (Summe aus Einspeisung und Bezug):</t>
  </si>
  <si>
    <t>Netznutzungsengtelt</t>
  </si>
  <si>
    <t>Elektrizitätsabgabe</t>
  </si>
  <si>
    <t>- 28% Netznutzungs-entgelt</t>
  </si>
  <si>
    <t>Kostenreduktion durch EG Teilnahme (Netto)</t>
  </si>
  <si>
    <t>Einspeisetarif z.B. ÖMAG</t>
  </si>
  <si>
    <r>
      <t>Für Berechnung in rot umrandete Felder eigene Daten eingeben!</t>
    </r>
    <r>
      <rPr>
        <b/>
        <sz val="9"/>
        <color rgb="FF3C3C3C"/>
        <rFont val="Titillium Web"/>
      </rPr>
      <t xml:space="preserve">
</t>
    </r>
    <r>
      <rPr>
        <sz val="9"/>
        <color rgb="FF3C3C3C"/>
        <rFont val="Titillium Web"/>
      </rPr>
      <t xml:space="preserve">  1) Einspeise/Bezugs-Mengen anpassen
  2) Preise für Bezug und Einspeisung anpassen
  3) Netzgebiet auswählen (grünes Auswahlfeld)
  4) Gesamt-Teilnehmer-Zahl &amp; eigene Standorte einstellen
  5) EEG-Anteil am Strombezug/Einspeisung definieren:
         PV-Einspeisen typ. 30-70%
         Bezug: ohne Wasserkraft typ. 30 %, mit Kleinwasserkraft bis 60 %
Nur Bezug oder nur Einspeisen ist möglich! </t>
    </r>
  </si>
  <si>
    <t>KLUUB EEG -Tarif</t>
  </si>
  <si>
    <t xml:space="preserve">Von </t>
  </si>
  <si>
    <t>Bis</t>
  </si>
  <si>
    <t>Kosten</t>
  </si>
  <si>
    <t>Netzgebiet</t>
  </si>
  <si>
    <t>EEG-Teilnehmer: ≥ 10</t>
  </si>
  <si>
    <t>Burgenland</t>
  </si>
  <si>
    <t>Anzahl Standorte</t>
  </si>
  <si>
    <t>Kärnten</t>
  </si>
  <si>
    <t>Klagenfurt</t>
  </si>
  <si>
    <t>Netzkostenersparnis reg.  EEG inkl. Elektrizitätsabgabe (Brutto)</t>
  </si>
  <si>
    <t xml:space="preserve">SUMME: </t>
  </si>
  <si>
    <t>Niederösterreich</t>
  </si>
  <si>
    <t>Oberösterreich</t>
  </si>
  <si>
    <t>Betriebskosten / Quartal</t>
  </si>
  <si>
    <t>Linz</t>
  </si>
  <si>
    <t>ab Teilnehmer</t>
  </si>
  <si>
    <t>€/Quartal</t>
  </si>
  <si>
    <t>Salzburg</t>
  </si>
  <si>
    <t xml:space="preserve">Ich suche eine passende EG in meiner Region: </t>
  </si>
  <si>
    <t>Steiermark</t>
  </si>
  <si>
    <t xml:space="preserve">Für die Suche einer EG in Deiner Region bitte in der APP registrieren und Deinen Standort und Zählpunkte in der APP eingeben: </t>
  </si>
  <si>
    <t>Graz</t>
  </si>
  <si>
    <t>app.neoom.com</t>
  </si>
  <si>
    <t xml:space="preserve">Tirol </t>
  </si>
  <si>
    <t xml:space="preserve">Nach der Bekanntgabe der Zählpunktnummer wirst Du nach einer kurzen Wartezeit durch die Nahbereichsabfrage einer passenden EG </t>
  </si>
  <si>
    <t>Innsbruck</t>
  </si>
  <si>
    <t>in der Region zugewiesen. Erst danach kannst Du Dich verbindlich durch die Annahme der Stromverträge anmelden.</t>
  </si>
  <si>
    <t>Vorarlberg</t>
  </si>
  <si>
    <t>Einblick auf eine Karte über die verfügbaren neoom-EGs unter:</t>
  </si>
  <si>
    <t>Wien</t>
  </si>
  <si>
    <t>https://neoom.com/produkte/app/kluub#karte</t>
  </si>
  <si>
    <r>
      <t xml:space="preserve">Youtube Videos als Hilfestellung für die </t>
    </r>
    <r>
      <rPr>
        <b/>
        <sz val="11"/>
        <color theme="1"/>
        <rFont val="Titillium Web"/>
      </rPr>
      <t xml:space="preserve">Registrierung </t>
    </r>
    <r>
      <rPr>
        <sz val="11"/>
        <color theme="1"/>
        <rFont val="Titillium Web"/>
      </rPr>
      <t xml:space="preserve">im </t>
    </r>
    <r>
      <rPr>
        <b/>
        <sz val="11"/>
        <color theme="1"/>
        <rFont val="Titillium Web"/>
      </rPr>
      <t xml:space="preserve">KLUUB </t>
    </r>
  </si>
  <si>
    <t>**Die tatsächlichen Netzkosten liegen inkl. Netzverlustentgelt und Grundgebühren höher! Zum Kostenvergleich mit der Energiegemeinschaftsteilnahme sind diese jedoch nicht
relevant und werden deshalb vereinfacht in der Kalkulation nicht mitgerechnet.</t>
  </si>
  <si>
    <t>https://www.youtube.com/playlist?list=PL3qdefEcGLAmZjl1VvCzxRULtSCNv9lJ4</t>
  </si>
  <si>
    <t>Weiterführende Informationen:</t>
  </si>
  <si>
    <t>neoom KLUUB - allgemeine Informationen zur Energiegemeinschaft</t>
  </si>
  <si>
    <t>neoom KLUUB - Wie funktioniert die Aufteilung des Stroms</t>
  </si>
  <si>
    <t>neoom KLUUB - Schritt für Schritt zu Ihrer Energiegemeinschaft</t>
  </si>
  <si>
    <t>neoom KLUUB - Erklärung des Tarifblattes</t>
  </si>
  <si>
    <t xml:space="preserve">Ich möchte für meine Region aktiv werden: </t>
  </si>
  <si>
    <t>Wenn Du in Deiner Region aktiv werden willst um weitere Personen für die Energiegemeinschaften zu begeistern, haben wir hier</t>
  </si>
  <si>
    <t xml:space="preserve">Unterstützungsmaterialien (Zeitungsartikel, Grafiken, Flyer) zur weiteren Verwendung! </t>
  </si>
  <si>
    <t>https://neoom.com/partner-downloads-kluub</t>
  </si>
  <si>
    <t>ENTWURF: Zahlen für 2025
(Preise laut Ankündigungen Netzbetreiber)</t>
  </si>
  <si>
    <t>Netto</t>
  </si>
  <si>
    <t>Ersparnis/Jahr                               ca.:</t>
  </si>
  <si>
    <t>Rev.17  12_2024</t>
  </si>
  <si>
    <t>Betriebskosten / Quartal (Brutto)</t>
  </si>
  <si>
    <t>Servicebeitrag je kWh (Summe aus Einspeisung und Bezug, Brutto):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</si>
</sst>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&quot;€&quot;\ * #,##0.000_-;\-&quot;€&quot;\ * #,##0.000_-;_-&quot;€&quot;\ * &quot;-&quot;??_-;_-@_-"/>
    <numFmt numFmtId="167" formatCode="0.0"/>
    <numFmt numFmtId="168" formatCode="#,##0.00_ ;\-#,##0.00\ "/>
    <numFmt numFmtId="169" formatCode="_-&quot;€&quot;\ * #,##0.0_-;\-&quot;€&quot;\ * #,##0.0_-;_-&quot;€&quot;\ * &quot;-&quot;??_-;_-@_-"/>
    <numFmt numFmtId="170" formatCode="_-[$€-C07]\ * #,##0.00_-;\-[$€-C07]\ * #,##0.00_-;_-[$€-C07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12529"/>
      <name val="Titillium Web"/>
    </font>
    <font>
      <sz val="9"/>
      <color rgb="FF3C3C3C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b/>
      <sz val="9"/>
      <color theme="1"/>
      <name val="Titillium Web"/>
    </font>
    <font>
      <b/>
      <sz val="9"/>
      <color rgb="FFFF0000"/>
      <name val="Titillium Web"/>
    </font>
    <font>
      <b/>
      <sz val="9"/>
      <color rgb="FF00B050"/>
      <name val="Titillium Web"/>
    </font>
    <font>
      <sz val="9"/>
      <color rgb="FFEB5032"/>
      <name val="Titillium Web"/>
    </font>
    <font>
      <sz val="9"/>
      <color rgb="FFFF0000"/>
      <name val="Titillium Web"/>
    </font>
    <font>
      <sz val="9"/>
      <color rgb="FF00B050"/>
      <name val="Titillium Web"/>
    </font>
    <font>
      <b/>
      <sz val="9"/>
      <color theme="4" tint="0.39997558519241921"/>
      <name val="Titillium Web"/>
    </font>
    <font>
      <sz val="9"/>
      <color rgb="FF96C446"/>
      <name val="Titillium Web"/>
    </font>
    <font>
      <b/>
      <sz val="18"/>
      <color rgb="FF3C3C3C"/>
      <name val="Titillium Web"/>
    </font>
    <font>
      <u/>
      <sz val="11"/>
      <color theme="10"/>
      <name val="Calibri"/>
      <family val="2"/>
      <scheme val="minor"/>
    </font>
    <font>
      <b/>
      <sz val="11"/>
      <color theme="1"/>
      <name val="Titillium Web"/>
    </font>
    <font>
      <sz val="11"/>
      <color rgb="FF3C3C3C"/>
      <name val="Titillium Web"/>
    </font>
    <font>
      <b/>
      <sz val="11"/>
      <color rgb="FFFF0000"/>
      <name val="Titillium Web"/>
    </font>
    <font>
      <sz val="11"/>
      <color theme="1"/>
      <name val="Titillium Web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ECF3DE"/>
        <bgColor indexed="64"/>
      </patternFill>
    </fill>
  </fills>
  <borders count="117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rgb="FF3C3C3C"/>
      </top>
      <bottom style="medium">
        <color rgb="FF3C3C3C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EB5032"/>
      </top>
      <bottom/>
      <diagonal/>
    </border>
    <border>
      <left/>
      <right style="medium">
        <color indexed="64"/>
      </right>
      <top style="medium">
        <color rgb="FFEB5032"/>
      </top>
      <bottom/>
      <diagonal/>
    </border>
    <border>
      <left style="medium">
        <color rgb="FFEB5032"/>
      </left>
      <right/>
      <top style="medium">
        <color rgb="FFEB5032"/>
      </top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/>
      <bottom/>
      <diagonal/>
    </border>
    <border>
      <left style="medium">
        <color rgb="FF3C3C3C"/>
      </left>
      <right/>
      <top/>
      <bottom/>
      <diagonal/>
    </border>
    <border>
      <left/>
      <right style="medium">
        <color rgb="FF3C3C3C"/>
      </right>
      <top style="medium">
        <color rgb="FF3C3C3C"/>
      </top>
      <bottom style="medium">
        <color rgb="FFEB5032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/>
      <diagonal/>
    </border>
    <border>
      <left style="thin">
        <color rgb="FF3C3C3C"/>
      </left>
      <right style="medium">
        <color indexed="64"/>
      </right>
      <top style="medium">
        <color indexed="64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EB5032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medium">
        <color indexed="64"/>
      </top>
      <bottom style="medium">
        <color indexed="64"/>
      </bottom>
      <diagonal/>
    </border>
    <border>
      <left style="medium">
        <color rgb="FF3C3C3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3C3C3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/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rgb="FF3C3C3C"/>
      </left>
      <right/>
      <top style="thin">
        <color theme="1"/>
      </top>
      <bottom style="thin">
        <color rgb="FF3C3C3C"/>
      </bottom>
      <diagonal/>
    </border>
    <border>
      <left/>
      <right style="medium">
        <color rgb="FF3C3C3C"/>
      </right>
      <top style="thin">
        <color theme="1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theme="1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thin">
        <color theme="1"/>
      </right>
      <top/>
      <bottom style="thin">
        <color rgb="FF3C3C3C"/>
      </bottom>
      <diagonal/>
    </border>
    <border>
      <left/>
      <right style="medium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medium">
        <color indexed="64"/>
      </top>
      <bottom style="thin">
        <color theme="1"/>
      </bottom>
      <diagonal/>
    </border>
    <border>
      <left/>
      <right style="medium">
        <color rgb="FF3C3C3C"/>
      </right>
      <top style="medium">
        <color indexed="64"/>
      </top>
      <bottom style="thin">
        <color theme="1"/>
      </bottom>
      <diagonal/>
    </border>
    <border>
      <left style="medium">
        <color rgb="FFEB5032"/>
      </left>
      <right style="medium">
        <color rgb="FF3C3C3C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20">
    <xf numFmtId="0" fontId="0" fillId="0" borderId="0" xfId="0"/>
    <xf numFmtId="0" fontId="3" fillId="0" borderId="40" xfId="0" applyFont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3" borderId="6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43" xfId="1" applyNumberFormat="1" applyFont="1" applyFill="1" applyBorder="1" applyAlignment="1" applyProtection="1">
      <alignment horizontal="center" vertical="center"/>
      <protection locked="0"/>
    </xf>
    <xf numFmtId="165" fontId="3" fillId="0" borderId="98" xfId="1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9" xfId="0" applyFont="1" applyBorder="1" applyAlignment="1">
      <alignment horizontal="left" vertical="center" wrapText="1" indent="1"/>
    </xf>
    <xf numFmtId="0" fontId="3" fillId="0" borderId="49" xfId="1" applyNumberFormat="1" applyFont="1" applyFill="1" applyBorder="1" applyAlignment="1" applyProtection="1">
      <alignment horizontal="center" vertical="center"/>
      <protection locked="0"/>
    </xf>
    <xf numFmtId="165" fontId="3" fillId="0" borderId="32" xfId="1" quotePrefix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165" fontId="3" fillId="4" borderId="100" xfId="0" applyNumberFormat="1" applyFont="1" applyFill="1" applyBorder="1" applyAlignment="1">
      <alignment horizontal="center" vertical="center"/>
    </xf>
    <xf numFmtId="165" fontId="4" fillId="0" borderId="31" xfId="1" quotePrefix="1" applyNumberFormat="1" applyFont="1" applyFill="1" applyBorder="1" applyAlignment="1">
      <alignment horizontal="center" vertical="center"/>
    </xf>
    <xf numFmtId="165" fontId="3" fillId="4" borderId="55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4" fontId="12" fillId="2" borderId="1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0" xfId="0" applyFont="1" applyBorder="1"/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6" fillId="0" borderId="17" xfId="2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4" fontId="3" fillId="4" borderId="36" xfId="2" applyFont="1" applyFill="1" applyBorder="1" applyAlignment="1">
      <alignment horizontal="center" vertical="center"/>
    </xf>
    <xf numFmtId="164" fontId="8" fillId="2" borderId="59" xfId="0" applyNumberFormat="1" applyFont="1" applyFill="1" applyBorder="1" applyAlignment="1">
      <alignment horizontal="center" vertical="center"/>
    </xf>
    <xf numFmtId="164" fontId="8" fillId="2" borderId="24" xfId="0" applyNumberFormat="1" applyFont="1" applyFill="1" applyBorder="1" applyAlignment="1">
      <alignment horizontal="center" vertical="center"/>
    </xf>
    <xf numFmtId="164" fontId="3" fillId="4" borderId="34" xfId="2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left" vertical="center" indent="1"/>
    </xf>
    <xf numFmtId="0" fontId="3" fillId="3" borderId="50" xfId="0" applyFont="1" applyFill="1" applyBorder="1" applyAlignment="1">
      <alignment horizontal="center" vertical="center"/>
    </xf>
    <xf numFmtId="0" fontId="4" fillId="0" borderId="52" xfId="0" applyFont="1" applyBorder="1"/>
    <xf numFmtId="0" fontId="4" fillId="0" borderId="56" xfId="0" applyFont="1" applyBorder="1"/>
    <xf numFmtId="0" fontId="4" fillId="0" borderId="47" xfId="0" applyFont="1" applyBorder="1"/>
    <xf numFmtId="167" fontId="9" fillId="0" borderId="85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 indent="1"/>
    </xf>
    <xf numFmtId="1" fontId="3" fillId="0" borderId="86" xfId="0" applyNumberFormat="1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167" fontId="3" fillId="0" borderId="87" xfId="0" applyNumberFormat="1" applyFont="1" applyBorder="1" applyAlignment="1" applyProtection="1">
      <alignment horizontal="center" vertical="center"/>
      <protection locked="0"/>
    </xf>
    <xf numFmtId="3" fontId="4" fillId="0" borderId="77" xfId="0" quotePrefix="1" applyNumberFormat="1" applyFont="1" applyBorder="1" applyAlignment="1" applyProtection="1">
      <alignment horizontal="center"/>
      <protection locked="0"/>
    </xf>
    <xf numFmtId="3" fontId="4" fillId="0" borderId="78" xfId="0" applyNumberFormat="1" applyFont="1" applyBorder="1" applyAlignment="1" applyProtection="1">
      <alignment horizontal="center"/>
      <protection locked="0"/>
    </xf>
    <xf numFmtId="1" fontId="3" fillId="0" borderId="88" xfId="0" applyNumberFormat="1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>
      <alignment horizontal="left" vertical="center" wrapText="1" indent="1"/>
    </xf>
    <xf numFmtId="1" fontId="3" fillId="0" borderId="84" xfId="0" applyNumberFormat="1" applyFont="1" applyBorder="1" applyAlignment="1" applyProtection="1">
      <alignment horizontal="center" vertical="center"/>
      <protection locked="0"/>
    </xf>
    <xf numFmtId="0" fontId="4" fillId="0" borderId="78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164" fontId="3" fillId="4" borderId="80" xfId="2" applyFont="1" applyFill="1" applyBorder="1" applyAlignment="1">
      <alignment horizontal="center"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164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164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164" fontId="4" fillId="0" borderId="60" xfId="2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169" fontId="3" fillId="0" borderId="0" xfId="2" applyNumberFormat="1" applyFont="1" applyFill="1" applyBorder="1" applyAlignment="1">
      <alignment horizontal="center" vertical="center"/>
    </xf>
    <xf numFmtId="164" fontId="3" fillId="4" borderId="101" xfId="2" applyFont="1" applyFill="1" applyBorder="1" applyAlignment="1">
      <alignment horizontal="center" vertical="center"/>
    </xf>
    <xf numFmtId="0" fontId="3" fillId="4" borderId="102" xfId="0" applyFont="1" applyFill="1" applyBorder="1" applyAlignment="1" applyProtection="1">
      <alignment horizontal="left" vertical="center" indent="1"/>
      <protection locked="0"/>
    </xf>
    <xf numFmtId="2" fontId="4" fillId="0" borderId="0" xfId="0" applyNumberFormat="1" applyFont="1"/>
    <xf numFmtId="2" fontId="5" fillId="0" borderId="63" xfId="0" applyNumberFormat="1" applyFont="1" applyBorder="1" applyAlignment="1" applyProtection="1">
      <alignment horizontal="center"/>
      <protection locked="0"/>
    </xf>
    <xf numFmtId="2" fontId="5" fillId="0" borderId="104" xfId="0" applyNumberFormat="1" applyFont="1" applyBorder="1" applyAlignment="1" applyProtection="1">
      <alignment horizontal="center"/>
      <protection locked="0"/>
    </xf>
    <xf numFmtId="2" fontId="5" fillId="0" borderId="70" xfId="0" applyNumberFormat="1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wrapText="1"/>
    </xf>
    <xf numFmtId="0" fontId="10" fillId="0" borderId="0" xfId="0" applyFont="1"/>
    <xf numFmtId="168" fontId="3" fillId="4" borderId="107" xfId="1" applyNumberFormat="1" applyFont="1" applyFill="1" applyBorder="1" applyAlignment="1">
      <alignment vertical="center"/>
    </xf>
    <xf numFmtId="2" fontId="3" fillId="0" borderId="104" xfId="0" applyNumberFormat="1" applyFont="1" applyBorder="1" applyAlignment="1" applyProtection="1">
      <alignment horizontal="center"/>
      <protection locked="0"/>
    </xf>
    <xf numFmtId="0" fontId="4" fillId="0" borderId="110" xfId="0" applyFont="1" applyBorder="1" applyAlignment="1" applyProtection="1">
      <alignment horizontal="center" vertical="center"/>
      <protection locked="0"/>
    </xf>
    <xf numFmtId="2" fontId="3" fillId="0" borderId="63" xfId="0" applyNumberFormat="1" applyFont="1" applyBorder="1" applyAlignment="1" applyProtection="1">
      <alignment horizont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2" fontId="5" fillId="0" borderId="112" xfId="0" applyNumberFormat="1" applyFont="1" applyBorder="1" applyAlignment="1" applyProtection="1">
      <alignment horizontal="center"/>
      <protection locked="0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2" fontId="3" fillId="0" borderId="70" xfId="0" applyNumberFormat="1" applyFont="1" applyBorder="1" applyAlignment="1" applyProtection="1">
      <alignment horizontal="center"/>
      <protection locked="0"/>
    </xf>
    <xf numFmtId="2" fontId="5" fillId="0" borderId="64" xfId="0" applyNumberFormat="1" applyFont="1" applyBorder="1" applyAlignment="1" applyProtection="1">
      <alignment horizontal="center"/>
      <protection locked="0"/>
    </xf>
    <xf numFmtId="164" fontId="2" fillId="0" borderId="114" xfId="2" applyFont="1" applyBorder="1" applyAlignment="1" applyProtection="1">
      <alignment vertical="center"/>
      <protection locked="0"/>
    </xf>
    <xf numFmtId="164" fontId="2" fillId="0" borderId="115" xfId="2" applyFont="1" applyBorder="1" applyAlignment="1" applyProtection="1">
      <alignment vertical="center"/>
      <protection locked="0"/>
    </xf>
    <xf numFmtId="3" fontId="4" fillId="0" borderId="108" xfId="0" quotePrefix="1" applyNumberFormat="1" applyFont="1" applyBorder="1" applyAlignment="1" applyProtection="1">
      <alignment horizontal="center"/>
      <protection locked="0"/>
    </xf>
    <xf numFmtId="3" fontId="4" fillId="0" borderId="109" xfId="0" applyNumberFormat="1" applyFont="1" applyBorder="1" applyAlignment="1" applyProtection="1">
      <alignment horizontal="center"/>
      <protection locked="0"/>
    </xf>
    <xf numFmtId="3" fontId="4" fillId="0" borderId="109" xfId="1" applyNumberFormat="1" applyFont="1" applyBorder="1" applyAlignment="1" applyProtection="1">
      <alignment horizontal="center"/>
      <protection locked="0"/>
    </xf>
    <xf numFmtId="0" fontId="4" fillId="0" borderId="109" xfId="0" applyFont="1" applyBorder="1" applyProtection="1">
      <protection locked="0"/>
    </xf>
    <xf numFmtId="166" fontId="4" fillId="0" borderId="114" xfId="2" applyNumberFormat="1" applyFont="1" applyBorder="1" applyAlignment="1" applyProtection="1">
      <alignment horizontal="center"/>
      <protection locked="0"/>
    </xf>
    <xf numFmtId="166" fontId="4" fillId="0" borderId="115" xfId="2" applyNumberFormat="1" applyFont="1" applyBorder="1" applyAlignment="1" applyProtection="1">
      <alignment horizontal="center"/>
      <protection locked="0"/>
    </xf>
    <xf numFmtId="166" fontId="4" fillId="0" borderId="116" xfId="2" applyNumberFormat="1" applyFont="1" applyBorder="1" applyAlignment="1" applyProtection="1">
      <alignment horizontal="center"/>
      <protection locked="0"/>
    </xf>
    <xf numFmtId="164" fontId="2" fillId="0" borderId="116" xfId="2" applyFont="1" applyBorder="1" applyAlignment="1" applyProtection="1">
      <alignment vertical="center"/>
      <protection locked="0"/>
    </xf>
    <xf numFmtId="164" fontId="3" fillId="4" borderId="66" xfId="2" applyFont="1" applyFill="1" applyBorder="1" applyAlignment="1">
      <alignment horizontal="center" vertical="center"/>
    </xf>
    <xf numFmtId="164" fontId="3" fillId="4" borderId="65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/>
    <xf numFmtId="0" fontId="7" fillId="3" borderId="0" xfId="0" applyFont="1" applyFill="1" applyAlignment="1">
      <alignment horizontal="left" vertical="center"/>
    </xf>
    <xf numFmtId="0" fontId="16" fillId="3" borderId="0" xfId="0" applyFont="1" applyFill="1"/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/>
    <xf numFmtId="0" fontId="19" fillId="3" borderId="0" xfId="0" applyFont="1" applyFill="1" applyAlignment="1">
      <alignment horizontal="left" vertical="center"/>
    </xf>
    <xf numFmtId="0" fontId="18" fillId="3" borderId="0" xfId="3" applyFont="1" applyFill="1" applyProtection="1"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>
      <alignment horizontal="center" vertical="center"/>
    </xf>
    <xf numFmtId="0" fontId="20" fillId="3" borderId="0" xfId="3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3" fillId="3" borderId="69" xfId="0" quotePrefix="1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3" borderId="74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left" vertical="center" indent="1"/>
    </xf>
    <xf numFmtId="0" fontId="3" fillId="0" borderId="93" xfId="0" applyFont="1" applyBorder="1" applyAlignment="1">
      <alignment horizontal="left" vertical="center" indent="1"/>
    </xf>
    <xf numFmtId="164" fontId="9" fillId="0" borderId="96" xfId="0" applyNumberFormat="1" applyFont="1" applyBorder="1" applyAlignment="1">
      <alignment horizontal="center" vertical="center"/>
    </xf>
    <xf numFmtId="164" fontId="9" fillId="0" borderId="9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42" xfId="1" applyNumberFormat="1" applyFont="1" applyFill="1" applyBorder="1" applyAlignment="1" applyProtection="1">
      <alignment horizontal="center" vertical="center"/>
      <protection locked="0"/>
    </xf>
    <xf numFmtId="0" fontId="3" fillId="0" borderId="44" xfId="1" applyNumberFormat="1" applyFont="1" applyFill="1" applyBorder="1" applyAlignment="1" applyProtection="1">
      <alignment horizontal="center" vertical="center"/>
      <protection locked="0"/>
    </xf>
    <xf numFmtId="0" fontId="3" fillId="4" borderId="105" xfId="0" applyFont="1" applyFill="1" applyBorder="1" applyAlignment="1">
      <alignment horizontal="left" vertical="top"/>
    </xf>
    <xf numFmtId="0" fontId="3" fillId="4" borderId="106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5" xfId="0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164" fontId="9" fillId="0" borderId="90" xfId="0" applyNumberFormat="1" applyFont="1" applyBorder="1" applyAlignment="1">
      <alignment horizontal="center" vertical="center"/>
    </xf>
    <xf numFmtId="164" fontId="9" fillId="0" borderId="91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164" fontId="3" fillId="4" borderId="92" xfId="2" applyFont="1" applyFill="1" applyBorder="1" applyAlignment="1">
      <alignment horizontal="center" vertical="center"/>
    </xf>
    <xf numFmtId="164" fontId="3" fillId="4" borderId="68" xfId="2" applyFont="1" applyFill="1" applyBorder="1" applyAlignment="1">
      <alignment horizontal="center" vertical="center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4" borderId="79" xfId="2" applyFont="1" applyFill="1" applyBorder="1" applyAlignment="1">
      <alignment horizontal="center" vertical="center"/>
    </xf>
    <xf numFmtId="164" fontId="3" fillId="4" borderId="71" xfId="2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57" xfId="0" applyNumberFormat="1" applyFont="1" applyBorder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15" fillId="0" borderId="0" xfId="3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164" fontId="3" fillId="4" borderId="35" xfId="2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4" fillId="0" borderId="0" xfId="0" applyFont="1"/>
    <xf numFmtId="0" fontId="20" fillId="3" borderId="0" xfId="3" applyFont="1" applyFill="1" applyAlignment="1" applyProtection="1">
      <alignment horizontal="left" vertical="center"/>
      <protection locked="0"/>
    </xf>
    <xf numFmtId="164" fontId="3" fillId="0" borderId="0" xfId="2" applyFont="1" applyFill="1" applyBorder="1" applyAlignment="1">
      <alignment horizontal="center" vertical="center"/>
    </xf>
    <xf numFmtId="164" fontId="9" fillId="0" borderId="90" xfId="2" applyFont="1" applyBorder="1" applyAlignment="1">
      <alignment horizontal="center" vertical="center"/>
    </xf>
    <xf numFmtId="164" fontId="9" fillId="0" borderId="91" xfId="2" applyFont="1" applyBorder="1" applyAlignment="1">
      <alignment horizontal="center" vertical="center"/>
    </xf>
    <xf numFmtId="170" fontId="9" fillId="0" borderId="90" xfId="2" applyNumberFormat="1" applyFont="1" applyBorder="1" applyAlignment="1">
      <alignment horizontal="center" vertical="center"/>
    </xf>
    <xf numFmtId="170" fontId="9" fillId="0" borderId="91" xfId="2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26"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FFEFEA"/>
      <color rgb="FF3C3C3C"/>
      <color rgb="FFEB5032"/>
      <color rgb="FFB2B2B2"/>
      <color rgb="FFECF3DE"/>
      <color rgb="FF96C4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0</xdr:row>
      <xdr:rowOff>242166</xdr:rowOff>
    </xdr:from>
    <xdr:to>
      <xdr:col>1</xdr:col>
      <xdr:colOff>459446</xdr:colOff>
      <xdr:row>0</xdr:row>
      <xdr:rowOff>497474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0675D3-E3F3-4FAC-86E6-DB89B6EBA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348" y="242166"/>
          <a:ext cx="428698" cy="255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41332</xdr:colOff>
      <xdr:row>1</xdr:row>
      <xdr:rowOff>93999</xdr:rowOff>
    </xdr:from>
    <xdr:to>
      <xdr:col>1</xdr:col>
      <xdr:colOff>463680</xdr:colOff>
      <xdr:row>1</xdr:row>
      <xdr:rowOff>349307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117024-B462-46C2-B30D-6777D21F3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65" y="168082"/>
          <a:ext cx="428698" cy="255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lmylink.me/ETk" TargetMode="External"/><Relationship Id="rId3" Type="http://schemas.openxmlformats.org/officeDocument/2006/relationships/hyperlink" Target="https://neoom.com/loesungen-eeg" TargetMode="External"/><Relationship Id="rId7" Type="http://schemas.openxmlformats.org/officeDocument/2006/relationships/hyperlink" Target="https://neoom.com/partner-downloads-kluub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neoom.com/produkte/app/kluub" TargetMode="External"/><Relationship Id="rId1" Type="http://schemas.openxmlformats.org/officeDocument/2006/relationships/hyperlink" Target="https://neoom.com/hubfs/Veranstaltungen/EEG_Info_Veranstaltungen/EEG_2023_2024/Tutorial_EEG_Kalkulator_privat.mp4" TargetMode="External"/><Relationship Id="rId6" Type="http://schemas.openxmlformats.org/officeDocument/2006/relationships/hyperlink" Target="https://wissen.neoom.com/erklaerung-des-tarifblatte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issen.neoom.com/schritt-fuer-schritt-anleitung-kluub" TargetMode="External"/><Relationship Id="rId10" Type="http://schemas.openxmlformats.org/officeDocument/2006/relationships/hyperlink" Target="https://www.youtube.com/playlist?list=PL3qdefEcGLAmZjl1VvCzxRULtSCNv9lJ4" TargetMode="External"/><Relationship Id="rId4" Type="http://schemas.openxmlformats.org/officeDocument/2006/relationships/hyperlink" Target="https://wissen.neoom.com/stromlieferung-und-verteilung" TargetMode="External"/><Relationship Id="rId9" Type="http://schemas.openxmlformats.org/officeDocument/2006/relationships/hyperlink" Target="https://www.youtube.com/playlist?list=PL3qdefEcGLAmZjl1VvCzxRULtSCNv9lJ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playlist?list=PL3qdefEcGLAmZjl1VvCzxRULtSCNv9lJ4" TargetMode="External"/><Relationship Id="rId3" Type="http://schemas.openxmlformats.org/officeDocument/2006/relationships/hyperlink" Target="https://wissen.neoom.com/stromlieferung-und-verteilung" TargetMode="External"/><Relationship Id="rId7" Type="http://schemas.openxmlformats.org/officeDocument/2006/relationships/hyperlink" Target="https://allmylink.me/ETk" TargetMode="External"/><Relationship Id="rId2" Type="http://schemas.openxmlformats.org/officeDocument/2006/relationships/hyperlink" Target="https://neoom.com/loesungen-eeg" TargetMode="External"/><Relationship Id="rId1" Type="http://schemas.openxmlformats.org/officeDocument/2006/relationships/hyperlink" Target="https://neoom.com/produkte/app/kluub" TargetMode="External"/><Relationship Id="rId6" Type="http://schemas.openxmlformats.org/officeDocument/2006/relationships/hyperlink" Target="https://neoom.com/partner-downloads-kluub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issen.neoom.com/erklaerung-des-tarifblatte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issen.neoom.com/schritt-fuer-schritt-anleitung-kluub" TargetMode="External"/><Relationship Id="rId9" Type="http://schemas.openxmlformats.org/officeDocument/2006/relationships/hyperlink" Target="https://www.youtube.com/playlist?list=PL3qdefEcGLAmZjl1VvCzxRULtSCNv9lJ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549A-C270-4852-A92D-8831EA4E262C}">
  <dimension ref="A1:U45"/>
  <sheetViews>
    <sheetView showGridLines="0" zoomScale="70" zoomScaleNormal="70" workbookViewId="0">
      <selection activeCell="F8" sqref="F8:J8"/>
    </sheetView>
  </sheetViews>
  <sheetFormatPr baseColWidth="10" defaultColWidth="10.42578125" defaultRowHeight="16.5" outlineLevelCol="1" x14ac:dyDescent="0.4"/>
  <cols>
    <col min="1" max="1" width="3.42578125" style="4" customWidth="1"/>
    <col min="2" max="2" width="39.42578125" style="4" customWidth="1"/>
    <col min="3" max="3" width="9.85546875" style="4" bestFit="1" customWidth="1"/>
    <col min="4" max="4" width="11.7109375" style="4" bestFit="1" customWidth="1"/>
    <col min="5" max="5" width="14.42578125" style="4" customWidth="1"/>
    <col min="6" max="6" width="9.42578125" style="4" customWidth="1"/>
    <col min="7" max="7" width="13.28515625" style="4" bestFit="1" customWidth="1"/>
    <col min="8" max="8" width="14.5703125" style="4" bestFit="1" customWidth="1"/>
    <col min="9" max="10" width="10.140625" style="4" customWidth="1"/>
    <col min="11" max="11" width="16.28515625" style="4" customWidth="1"/>
    <col min="12" max="12" width="16.28515625" style="4" hidden="1" customWidth="1" outlineLevel="1"/>
    <col min="13" max="13" width="16.140625" style="4" hidden="1" customWidth="1" outlineLevel="1"/>
    <col min="14" max="14" width="17.140625" style="4" hidden="1" customWidth="1" outlineLevel="1"/>
    <col min="15" max="16" width="21.85546875" style="4" hidden="1" customWidth="1" outlineLevel="1"/>
    <col min="17" max="17" width="14.5703125" style="4" hidden="1" customWidth="1" outlineLevel="1"/>
    <col min="18" max="18" width="15.85546875" style="4" hidden="1" customWidth="1" outlineLevel="1"/>
    <col min="19" max="19" width="17.5703125" style="4" hidden="1" customWidth="1" outlineLevel="1"/>
    <col min="20" max="20" width="24.7109375" style="4" hidden="1" customWidth="1" outlineLevel="1"/>
    <col min="21" max="21" width="10.42578125" style="4" collapsed="1"/>
    <col min="22" max="16384" width="10.42578125" style="4"/>
  </cols>
  <sheetData>
    <row r="1" spans="1:20" ht="68.099999999999994" customHeight="1" thickBot="1" x14ac:dyDescent="0.7">
      <c r="A1" s="141"/>
      <c r="B1" s="142" t="s">
        <v>0</v>
      </c>
      <c r="C1" s="143"/>
      <c r="D1" s="143"/>
      <c r="E1" s="143"/>
      <c r="I1" s="7"/>
      <c r="J1" s="7"/>
      <c r="L1" s="144" t="s">
        <v>1</v>
      </c>
      <c r="M1" s="146" t="s">
        <v>2</v>
      </c>
      <c r="N1" s="148" t="s">
        <v>3</v>
      </c>
      <c r="O1" s="175" t="s">
        <v>4</v>
      </c>
      <c r="P1" s="148" t="s">
        <v>5</v>
      </c>
      <c r="Q1" s="167"/>
      <c r="R1" s="167"/>
    </row>
    <row r="2" spans="1:20" ht="39.950000000000003" customHeight="1" thickBot="1" x14ac:dyDescent="0.45">
      <c r="A2" s="141"/>
      <c r="B2" s="90" t="str">
        <f>Details2025!B3</f>
        <v>ENTWURF: Zahlen für 2025
(Preise laut Ankündigungen Netzbetreiber)</v>
      </c>
      <c r="C2" s="168" t="s">
        <v>6</v>
      </c>
      <c r="D2" s="169"/>
      <c r="E2" s="170"/>
      <c r="I2" s="171" t="s">
        <v>7</v>
      </c>
      <c r="J2" s="172"/>
      <c r="L2" s="145"/>
      <c r="M2" s="147"/>
      <c r="N2" s="149"/>
      <c r="O2" s="176"/>
      <c r="P2" s="149"/>
      <c r="Q2" s="8"/>
      <c r="R2" s="8"/>
    </row>
    <row r="3" spans="1:20" ht="33.75" thickBot="1" x14ac:dyDescent="0.45">
      <c r="A3" s="141"/>
      <c r="B3" s="9"/>
      <c r="C3" s="10" t="s">
        <v>8</v>
      </c>
      <c r="D3" s="11" t="s">
        <v>9</v>
      </c>
      <c r="E3" s="12" t="s">
        <v>10</v>
      </c>
      <c r="G3" s="13"/>
      <c r="H3" s="13"/>
      <c r="I3" s="173" t="s">
        <v>11</v>
      </c>
      <c r="J3" s="174"/>
      <c r="L3" s="14" t="s">
        <v>12</v>
      </c>
      <c r="M3" s="15" t="s">
        <v>13</v>
      </c>
      <c r="N3" s="16" t="s">
        <v>13</v>
      </c>
      <c r="O3" s="15" t="s">
        <v>13</v>
      </c>
      <c r="P3" s="15" t="s">
        <v>13</v>
      </c>
      <c r="Q3" s="167"/>
      <c r="R3" s="167"/>
    </row>
    <row r="4" spans="1:20" s="23" customFormat="1" ht="33" customHeight="1" thickBot="1" x14ac:dyDescent="0.45">
      <c r="A4" s="141"/>
      <c r="B4" s="17" t="s">
        <v>14</v>
      </c>
      <c r="C4" s="18">
        <v>16000</v>
      </c>
      <c r="D4" s="18">
        <v>20</v>
      </c>
      <c r="E4" s="19">
        <f>C4*D4/100</f>
        <v>3200</v>
      </c>
      <c r="F4" s="20"/>
      <c r="G4" s="150" t="s">
        <v>15</v>
      </c>
      <c r="H4" s="151"/>
      <c r="I4" s="215">
        <f>(O7-(C5*(VLOOKUP(B19,P15:Q27,2)/100)))*1.2</f>
        <v>-14131.199999999999</v>
      </c>
      <c r="J4" s="216"/>
      <c r="K4" s="4"/>
      <c r="L4" s="21">
        <f>(C19)*E5/100</f>
        <v>1867.1616000000001</v>
      </c>
      <c r="M4" s="22">
        <f>(C4-E4)*C13/100</f>
        <v>640</v>
      </c>
      <c r="N4" s="22">
        <f>E4*C14/100</f>
        <v>306.56</v>
      </c>
      <c r="O4" s="21">
        <f>-C5*C12/100</f>
        <v>-7600</v>
      </c>
      <c r="P4" s="21">
        <f>(-(C5-E5)*C12/100)-(E5*C14/100)</f>
        <v>-7638.4</v>
      </c>
      <c r="Q4" s="177" t="s">
        <v>16</v>
      </c>
      <c r="R4" s="178"/>
    </row>
    <row r="5" spans="1:20" ht="33" customHeight="1" thickBot="1" x14ac:dyDescent="0.45">
      <c r="A5" s="141"/>
      <c r="B5" s="24" t="s">
        <v>17</v>
      </c>
      <c r="C5" s="25">
        <v>80000</v>
      </c>
      <c r="D5" s="18">
        <v>60</v>
      </c>
      <c r="E5" s="26">
        <f>(C5)*D5/100</f>
        <v>48000</v>
      </c>
      <c r="F5" s="27"/>
      <c r="G5" s="179" t="s">
        <v>18</v>
      </c>
      <c r="H5" s="180"/>
      <c r="I5" s="217">
        <f>((P6-C5*((VLOOKUP(B19,P15:R27,2)/100)))*1.2)-(N7+N8)</f>
        <v>-12399.21408</v>
      </c>
      <c r="J5" s="218"/>
      <c r="L5" s="183"/>
      <c r="M5" s="184"/>
      <c r="N5" s="185"/>
      <c r="O5" s="28">
        <f>C4*C13/100</f>
        <v>800</v>
      </c>
      <c r="P5" s="28">
        <f>M4+N4</f>
        <v>946.56</v>
      </c>
      <c r="Q5" s="189" t="s">
        <v>19</v>
      </c>
      <c r="R5" s="190"/>
    </row>
    <row r="6" spans="1:20" ht="21.95" customHeight="1" thickBot="1" x14ac:dyDescent="0.45">
      <c r="A6" s="141"/>
      <c r="B6" s="29"/>
      <c r="C6" s="30"/>
      <c r="D6" s="1"/>
      <c r="E6" s="31">
        <f>SUM(E4:E5)</f>
        <v>51200</v>
      </c>
      <c r="F6" s="32"/>
      <c r="G6" s="191" t="s">
        <v>20</v>
      </c>
      <c r="H6" s="192"/>
      <c r="I6" s="193">
        <f>I5-I4</f>
        <v>1731.9859199999992</v>
      </c>
      <c r="J6" s="194"/>
      <c r="L6" s="186"/>
      <c r="M6" s="187"/>
      <c r="N6" s="188"/>
      <c r="O6" s="21">
        <f>O4+O5</f>
        <v>-6800</v>
      </c>
      <c r="P6" s="21">
        <f>P4+P5+L4</f>
        <v>-4824.6783999999998</v>
      </c>
      <c r="Q6" s="195" t="s">
        <v>21</v>
      </c>
      <c r="R6" s="196"/>
    </row>
    <row r="7" spans="1:20" ht="12" customHeight="1" thickBot="1" x14ac:dyDescent="0.45">
      <c r="A7" s="141"/>
      <c r="B7" s="2"/>
      <c r="C7" s="2"/>
      <c r="D7" s="2"/>
      <c r="E7" s="33" t="s">
        <v>22</v>
      </c>
      <c r="F7" s="34"/>
      <c r="L7" s="35" t="s">
        <v>23</v>
      </c>
      <c r="M7" s="36"/>
      <c r="N7" s="37">
        <f>O18</f>
        <v>626.4</v>
      </c>
      <c r="O7" s="201">
        <f>O6</f>
        <v>-6800</v>
      </c>
      <c r="P7" s="201">
        <f>P6-($N$7+$N$8)</f>
        <v>-5463.0783999999994</v>
      </c>
      <c r="Q7" s="204" t="s">
        <v>24</v>
      </c>
      <c r="R7" s="205"/>
    </row>
    <row r="8" spans="1:20" ht="20.100000000000001" customHeight="1" thickBot="1" x14ac:dyDescent="0.45">
      <c r="A8" s="141"/>
      <c r="B8" s="38" t="s">
        <v>25</v>
      </c>
      <c r="E8" s="39"/>
      <c r="F8" s="207" t="s">
        <v>26</v>
      </c>
      <c r="G8" s="207"/>
      <c r="H8" s="207"/>
      <c r="I8" s="207"/>
      <c r="J8" s="207"/>
      <c r="L8" s="40" t="s">
        <v>27</v>
      </c>
      <c r="M8" s="41"/>
      <c r="N8" s="42">
        <f>VLOOKUP(C15,L22:M27,2)*4*C16</f>
        <v>12</v>
      </c>
      <c r="O8" s="202"/>
      <c r="P8" s="203"/>
      <c r="Q8" s="206"/>
      <c r="R8" s="205"/>
    </row>
    <row r="9" spans="1:20" ht="29.1" customHeight="1" thickBot="1" x14ac:dyDescent="0.45">
      <c r="A9" s="141"/>
      <c r="B9" s="43"/>
      <c r="C9" s="43"/>
      <c r="D9" s="43"/>
      <c r="E9" s="43"/>
      <c r="F9" s="44"/>
      <c r="G9" s="208"/>
      <c r="H9" s="208"/>
      <c r="I9" s="208"/>
      <c r="J9" s="208"/>
      <c r="L9" s="6"/>
      <c r="M9" s="6"/>
      <c r="N9" s="6"/>
      <c r="O9" s="6"/>
      <c r="P9" s="84">
        <f>P7-O7</f>
        <v>1336.9216000000006</v>
      </c>
      <c r="Q9" s="209" t="s">
        <v>28</v>
      </c>
      <c r="R9" s="194"/>
    </row>
    <row r="10" spans="1:20" ht="29.1" hidden="1" customHeight="1" thickBot="1" x14ac:dyDescent="0.45">
      <c r="A10" s="141"/>
      <c r="B10" s="4" t="s">
        <v>29</v>
      </c>
      <c r="Q10" s="46"/>
      <c r="R10" s="47"/>
      <c r="S10" s="48"/>
      <c r="T10" s="48"/>
    </row>
    <row r="11" spans="1:20" ht="17.100000000000001" customHeight="1" thickBot="1" x14ac:dyDescent="0.45">
      <c r="A11" s="141"/>
      <c r="B11" s="49" t="s">
        <v>30</v>
      </c>
      <c r="C11" s="50" t="s">
        <v>12</v>
      </c>
      <c r="F11" s="51"/>
      <c r="G11" s="39"/>
      <c r="H11" s="39"/>
      <c r="I11" s="52"/>
      <c r="J11" s="53"/>
    </row>
    <row r="12" spans="1:20" ht="19.5" customHeight="1" thickBot="1" x14ac:dyDescent="0.45">
      <c r="A12" s="141"/>
      <c r="B12" s="3" t="s">
        <v>31</v>
      </c>
      <c r="C12" s="54">
        <v>9.5</v>
      </c>
      <c r="F12" s="55" t="s">
        <v>32</v>
      </c>
      <c r="G12" s="56"/>
      <c r="H12" s="57"/>
      <c r="I12" s="163" t="s">
        <v>33</v>
      </c>
      <c r="J12" s="164"/>
      <c r="L12" s="135" t="s">
        <v>34</v>
      </c>
      <c r="M12" s="136"/>
      <c r="N12" s="136"/>
      <c r="O12" s="137"/>
      <c r="P12" s="135" t="s">
        <v>35</v>
      </c>
      <c r="Q12" s="137"/>
      <c r="R12" s="210" t="s">
        <v>36</v>
      </c>
      <c r="S12" s="131" t="s">
        <v>37</v>
      </c>
      <c r="T12" s="133" t="s">
        <v>38</v>
      </c>
    </row>
    <row r="13" spans="1:20" ht="19.5" customHeight="1" thickBot="1" x14ac:dyDescent="0.45">
      <c r="A13" s="141"/>
      <c r="B13" s="58" t="s">
        <v>39</v>
      </c>
      <c r="C13" s="60">
        <v>5</v>
      </c>
      <c r="F13" s="154" t="s">
        <v>40</v>
      </c>
      <c r="G13" s="155"/>
      <c r="H13" s="155"/>
      <c r="I13" s="156"/>
      <c r="J13" s="157"/>
      <c r="L13" s="138"/>
      <c r="M13" s="139"/>
      <c r="N13" s="139"/>
      <c r="O13" s="140"/>
      <c r="P13" s="138"/>
      <c r="Q13" s="140"/>
      <c r="R13" s="211"/>
      <c r="S13" s="132"/>
      <c r="T13" s="132"/>
    </row>
    <row r="14" spans="1:20" ht="19.5" customHeight="1" thickBot="1" x14ac:dyDescent="0.45">
      <c r="A14" s="141"/>
      <c r="B14" s="58" t="s">
        <v>41</v>
      </c>
      <c r="C14" s="63">
        <v>9.58</v>
      </c>
      <c r="F14" s="158"/>
      <c r="G14" s="155"/>
      <c r="H14" s="155"/>
      <c r="I14" s="155"/>
      <c r="J14" s="159"/>
      <c r="L14" s="14" t="s">
        <v>42</v>
      </c>
      <c r="M14" s="61" t="s">
        <v>43</v>
      </c>
      <c r="N14" s="61" t="s">
        <v>12</v>
      </c>
      <c r="O14" s="62" t="s">
        <v>44</v>
      </c>
      <c r="P14" s="15" t="s">
        <v>45</v>
      </c>
      <c r="Q14" s="15" t="s">
        <v>12</v>
      </c>
      <c r="R14" s="15" t="s">
        <v>12</v>
      </c>
      <c r="S14" s="15" t="s">
        <v>12</v>
      </c>
      <c r="T14" s="15" t="s">
        <v>12</v>
      </c>
    </row>
    <row r="15" spans="1:20" ht="19.5" customHeight="1" thickBot="1" x14ac:dyDescent="0.45">
      <c r="A15" s="141"/>
      <c r="B15" s="58" t="s">
        <v>46</v>
      </c>
      <c r="C15" s="59">
        <v>200</v>
      </c>
      <c r="F15" s="158"/>
      <c r="G15" s="155"/>
      <c r="H15" s="155"/>
      <c r="I15" s="155"/>
      <c r="J15" s="159"/>
      <c r="L15" s="64">
        <v>1</v>
      </c>
      <c r="M15" s="105">
        <v>500</v>
      </c>
      <c r="N15" s="109">
        <v>2.4E-2</v>
      </c>
      <c r="O15" s="103">
        <f>IF(L15&lt;=$E$6,MIN($E$6-N(M14),M15-N(M14))*N15,0)</f>
        <v>12</v>
      </c>
      <c r="P15" s="94" t="s">
        <v>47</v>
      </c>
      <c r="Q15" s="87">
        <v>7.25</v>
      </c>
      <c r="R15" s="95">
        <v>1.5</v>
      </c>
      <c r="S15" s="95">
        <f>Q15*0.28</f>
        <v>2.0300000000000002</v>
      </c>
      <c r="T15" s="87">
        <f>S15+R15</f>
        <v>3.5300000000000002</v>
      </c>
    </row>
    <row r="16" spans="1:20" ht="19.5" customHeight="1" thickBot="1" x14ac:dyDescent="0.45">
      <c r="A16" s="141"/>
      <c r="B16" s="58" t="s">
        <v>48</v>
      </c>
      <c r="C16" s="66">
        <v>1</v>
      </c>
      <c r="D16" s="197"/>
      <c r="E16" s="198"/>
      <c r="F16" s="158"/>
      <c r="G16" s="155"/>
      <c r="H16" s="155"/>
      <c r="I16" s="155"/>
      <c r="J16" s="159"/>
      <c r="L16" s="65">
        <v>501</v>
      </c>
      <c r="M16" s="106">
        <v>1500</v>
      </c>
      <c r="N16" s="110">
        <v>1.7999999999999999E-2</v>
      </c>
      <c r="O16" s="104">
        <f>IF(L16&lt;=$E$6,MIN($E$6-N(M15),M16-N(M15))*N16,0)</f>
        <v>18</v>
      </c>
      <c r="P16" s="96" t="s">
        <v>49</v>
      </c>
      <c r="Q16" s="88">
        <v>9.75</v>
      </c>
      <c r="R16" s="93">
        <v>1.5</v>
      </c>
      <c r="S16" s="93">
        <f t="shared" ref="S16:S27" si="0">Q16*0.28</f>
        <v>2.7300000000000004</v>
      </c>
      <c r="T16" s="97">
        <f t="shared" ref="T16:T27" si="1">S16+R16</f>
        <v>4.2300000000000004</v>
      </c>
    </row>
    <row r="17" spans="1:20" ht="19.5" customHeight="1" thickBot="1" x14ac:dyDescent="0.45">
      <c r="A17" s="141"/>
      <c r="B17" s="67"/>
      <c r="C17" s="68"/>
      <c r="F17" s="158"/>
      <c r="G17" s="155"/>
      <c r="H17" s="155"/>
      <c r="I17" s="155"/>
      <c r="J17" s="159"/>
      <c r="L17" s="65">
        <v>1501</v>
      </c>
      <c r="M17" s="107">
        <v>1000000</v>
      </c>
      <c r="N17" s="111">
        <v>1.2E-2</v>
      </c>
      <c r="O17" s="112">
        <f>IF(L17&lt;=$E$6,MIN($E$6-N(M16),M17-N(M16))*N17,0)</f>
        <v>596.4</v>
      </c>
      <c r="P17" s="96" t="s">
        <v>50</v>
      </c>
      <c r="Q17" s="88">
        <v>7.23</v>
      </c>
      <c r="R17" s="93">
        <v>1.5</v>
      </c>
      <c r="S17" s="93">
        <f t="shared" si="0"/>
        <v>2.0244000000000004</v>
      </c>
      <c r="T17" s="97">
        <f t="shared" si="1"/>
        <v>3.5244000000000004</v>
      </c>
    </row>
    <row r="18" spans="1:20" ht="19.5" customHeight="1" thickBot="1" x14ac:dyDescent="0.45">
      <c r="A18" s="141"/>
      <c r="B18" s="165" t="s">
        <v>51</v>
      </c>
      <c r="C18" s="166"/>
      <c r="F18" s="158"/>
      <c r="G18" s="155"/>
      <c r="H18" s="155"/>
      <c r="I18" s="155"/>
      <c r="J18" s="159"/>
      <c r="L18" s="69"/>
      <c r="M18" s="108"/>
      <c r="N18" s="113" t="s">
        <v>52</v>
      </c>
      <c r="O18" s="114">
        <f>SUM(O15:O17)</f>
        <v>626.4</v>
      </c>
      <c r="P18" s="96" t="s">
        <v>53</v>
      </c>
      <c r="Q18" s="88">
        <v>8.19</v>
      </c>
      <c r="R18" s="93">
        <v>1.5</v>
      </c>
      <c r="S18" s="93">
        <f t="shared" si="0"/>
        <v>2.2932000000000001</v>
      </c>
      <c r="T18" s="97">
        <f t="shared" si="1"/>
        <v>3.7932000000000001</v>
      </c>
    </row>
    <row r="19" spans="1:20" ht="19.5" customHeight="1" thickBot="1" x14ac:dyDescent="0.45">
      <c r="A19" s="141"/>
      <c r="B19" s="85" t="s">
        <v>54</v>
      </c>
      <c r="C19" s="92">
        <f>VLOOKUP($B$19,$P$15:$T$27,5)*1.2</f>
        <v>3.88992</v>
      </c>
      <c r="F19" s="158"/>
      <c r="G19" s="155"/>
      <c r="H19" s="155"/>
      <c r="I19" s="155"/>
      <c r="J19" s="159"/>
      <c r="L19" s="70"/>
      <c r="M19" s="71"/>
      <c r="N19" s="71"/>
      <c r="O19" s="72"/>
      <c r="P19" s="98" t="s">
        <v>54</v>
      </c>
      <c r="Q19" s="88">
        <v>6.22</v>
      </c>
      <c r="R19" s="93">
        <v>1.5</v>
      </c>
      <c r="S19" s="93">
        <f t="shared" si="0"/>
        <v>1.7416</v>
      </c>
      <c r="T19" s="97">
        <f t="shared" si="1"/>
        <v>3.2416</v>
      </c>
    </row>
    <row r="20" spans="1:20" ht="19.5" customHeight="1" thickBot="1" x14ac:dyDescent="0.45">
      <c r="A20" s="141"/>
      <c r="B20" s="4" t="str">
        <f>Details2025!F23</f>
        <v>Rev.17  12_2024</v>
      </c>
      <c r="F20" s="160"/>
      <c r="G20" s="161"/>
      <c r="H20" s="161"/>
      <c r="I20" s="161"/>
      <c r="J20" s="162"/>
      <c r="L20" s="199" t="s">
        <v>55</v>
      </c>
      <c r="M20" s="200"/>
      <c r="N20" s="73"/>
      <c r="O20" s="72"/>
      <c r="P20" s="99" t="s">
        <v>56</v>
      </c>
      <c r="Q20" s="88">
        <v>5.27</v>
      </c>
      <c r="R20" s="93">
        <v>1.5</v>
      </c>
      <c r="S20" s="93">
        <f t="shared" si="0"/>
        <v>1.4756</v>
      </c>
      <c r="T20" s="97">
        <f t="shared" si="1"/>
        <v>2.9756</v>
      </c>
    </row>
    <row r="21" spans="1:20" ht="18" customHeight="1" thickBot="1" x14ac:dyDescent="0.45">
      <c r="A21" s="141"/>
      <c r="L21" s="74" t="s">
        <v>57</v>
      </c>
      <c r="M21" s="45" t="s">
        <v>58</v>
      </c>
      <c r="N21" s="71"/>
      <c r="O21" s="72"/>
      <c r="P21" s="99" t="s">
        <v>59</v>
      </c>
      <c r="Q21" s="88">
        <v>7.46</v>
      </c>
      <c r="R21" s="93">
        <v>1.5</v>
      </c>
      <c r="S21" s="93">
        <f t="shared" si="0"/>
        <v>2.0888</v>
      </c>
      <c r="T21" s="97">
        <f t="shared" si="1"/>
        <v>3.5888</v>
      </c>
    </row>
    <row r="22" spans="1:20" ht="18" customHeight="1" x14ac:dyDescent="0.4">
      <c r="A22" s="141"/>
      <c r="B22" s="115"/>
      <c r="C22" s="115"/>
      <c r="D22" s="115"/>
      <c r="E22" s="115"/>
      <c r="F22" s="115"/>
      <c r="G22" s="115"/>
      <c r="H22" s="115"/>
      <c r="I22" s="115"/>
      <c r="J22" s="115"/>
      <c r="L22" s="75">
        <v>10</v>
      </c>
      <c r="M22" s="76">
        <v>7.5</v>
      </c>
      <c r="N22" s="71"/>
      <c r="O22" s="72"/>
      <c r="P22" s="99" t="s">
        <v>61</v>
      </c>
      <c r="Q22" s="88">
        <v>9.11</v>
      </c>
      <c r="R22" s="93">
        <v>1.5</v>
      </c>
      <c r="S22" s="93">
        <f t="shared" si="0"/>
        <v>2.5508000000000002</v>
      </c>
      <c r="T22" s="97">
        <f t="shared" si="1"/>
        <v>4.0508000000000006</v>
      </c>
    </row>
    <row r="23" spans="1:20" ht="18" customHeight="1" x14ac:dyDescent="0.45">
      <c r="A23" s="141"/>
      <c r="B23" s="120" t="s">
        <v>60</v>
      </c>
      <c r="C23" s="116"/>
      <c r="D23" s="116"/>
      <c r="E23" s="115"/>
      <c r="F23" s="115"/>
      <c r="G23" s="115"/>
      <c r="H23" s="115"/>
      <c r="I23" s="115"/>
      <c r="J23" s="115"/>
      <c r="L23" s="75">
        <v>20</v>
      </c>
      <c r="M23" s="76">
        <v>6.5</v>
      </c>
      <c r="N23" s="71"/>
      <c r="O23" s="72"/>
      <c r="P23" s="99" t="s">
        <v>63</v>
      </c>
      <c r="Q23" s="88">
        <v>5.39</v>
      </c>
      <c r="R23" s="93">
        <v>1.5</v>
      </c>
      <c r="S23" s="93">
        <f t="shared" si="0"/>
        <v>1.5092000000000001</v>
      </c>
      <c r="T23" s="97">
        <f t="shared" si="1"/>
        <v>3.0091999999999999</v>
      </c>
    </row>
    <row r="24" spans="1:20" ht="18" customHeight="1" x14ac:dyDescent="0.4">
      <c r="A24" s="141"/>
      <c r="B24" s="121" t="s">
        <v>62</v>
      </c>
      <c r="C24" s="121"/>
      <c r="D24" s="121"/>
      <c r="E24" s="122"/>
      <c r="F24" s="122"/>
      <c r="G24" s="122"/>
      <c r="H24" s="122"/>
      <c r="I24" s="115"/>
      <c r="J24" s="115"/>
      <c r="L24" s="75">
        <v>30</v>
      </c>
      <c r="M24" s="76">
        <v>5</v>
      </c>
      <c r="N24" s="71"/>
      <c r="O24" s="72"/>
      <c r="P24" s="99" t="s">
        <v>65</v>
      </c>
      <c r="Q24" s="88">
        <v>5.99</v>
      </c>
      <c r="R24" s="93">
        <v>1.5</v>
      </c>
      <c r="S24" s="93">
        <f t="shared" si="0"/>
        <v>1.6772000000000002</v>
      </c>
      <c r="T24" s="97">
        <f t="shared" si="1"/>
        <v>3.1772</v>
      </c>
    </row>
    <row r="25" spans="1:20" ht="18" customHeight="1" x14ac:dyDescent="0.45">
      <c r="A25" s="141"/>
      <c r="B25" s="126" t="s">
        <v>64</v>
      </c>
      <c r="C25" s="122"/>
      <c r="D25" s="122"/>
      <c r="E25" s="122"/>
      <c r="F25" s="122"/>
      <c r="G25" s="122"/>
      <c r="H25" s="122"/>
      <c r="I25" s="115"/>
      <c r="J25" s="115"/>
      <c r="L25" s="75">
        <v>40</v>
      </c>
      <c r="M25" s="76">
        <v>4</v>
      </c>
      <c r="N25" s="71"/>
      <c r="O25" s="72"/>
      <c r="P25" s="99" t="s">
        <v>67</v>
      </c>
      <c r="Q25" s="88">
        <v>7.81</v>
      </c>
      <c r="R25" s="93">
        <v>1.5</v>
      </c>
      <c r="S25" s="93">
        <f t="shared" si="0"/>
        <v>2.1868000000000003</v>
      </c>
      <c r="T25" s="97">
        <f t="shared" si="1"/>
        <v>3.6868000000000003</v>
      </c>
    </row>
    <row r="26" spans="1:20" ht="18" customHeight="1" x14ac:dyDescent="0.4">
      <c r="A26" s="141"/>
      <c r="B26" s="121" t="s">
        <v>66</v>
      </c>
      <c r="C26" s="121"/>
      <c r="D26" s="121"/>
      <c r="E26" s="122"/>
      <c r="F26" s="122"/>
      <c r="G26" s="122"/>
      <c r="H26" s="122"/>
      <c r="I26" s="115"/>
      <c r="J26" s="115"/>
      <c r="L26" s="77">
        <v>50</v>
      </c>
      <c r="M26" s="78">
        <v>3.5</v>
      </c>
      <c r="N26" s="71"/>
      <c r="O26" s="72"/>
      <c r="P26" s="99" t="s">
        <v>69</v>
      </c>
      <c r="Q26" s="88">
        <v>5.4</v>
      </c>
      <c r="R26" s="93">
        <v>1.5</v>
      </c>
      <c r="S26" s="93">
        <f t="shared" si="0"/>
        <v>1.5120000000000002</v>
      </c>
      <c r="T26" s="97">
        <f t="shared" si="1"/>
        <v>3.0120000000000005</v>
      </c>
    </row>
    <row r="27" spans="1:20" ht="18" customHeight="1" thickBot="1" x14ac:dyDescent="0.45">
      <c r="A27" s="141"/>
      <c r="B27" s="121" t="s">
        <v>68</v>
      </c>
      <c r="C27" s="121"/>
      <c r="D27" s="121"/>
      <c r="E27" s="122"/>
      <c r="F27" s="122"/>
      <c r="G27" s="122"/>
      <c r="H27" s="122"/>
      <c r="I27" s="115"/>
      <c r="J27" s="115"/>
      <c r="L27" s="79">
        <v>100</v>
      </c>
      <c r="M27" s="80">
        <v>3</v>
      </c>
      <c r="N27" s="81"/>
      <c r="O27" s="82"/>
      <c r="P27" s="100" t="s">
        <v>71</v>
      </c>
      <c r="Q27" s="89">
        <v>7.39</v>
      </c>
      <c r="R27" s="101">
        <v>1.5</v>
      </c>
      <c r="S27" s="101">
        <f t="shared" si="0"/>
        <v>2.0691999999999999</v>
      </c>
      <c r="T27" s="102">
        <f t="shared" si="1"/>
        <v>3.5691999999999999</v>
      </c>
    </row>
    <row r="28" spans="1:20" ht="18" customHeight="1" x14ac:dyDescent="0.4">
      <c r="A28" s="141"/>
      <c r="B28" s="121"/>
      <c r="C28" s="121"/>
      <c r="D28" s="121"/>
      <c r="E28" s="122"/>
      <c r="F28" s="122"/>
      <c r="G28" s="122"/>
      <c r="H28" s="122"/>
      <c r="I28" s="115"/>
      <c r="J28" s="115"/>
    </row>
    <row r="29" spans="1:20" ht="15.6" customHeight="1" x14ac:dyDescent="0.4">
      <c r="A29" s="141"/>
      <c r="B29" s="121" t="s">
        <v>70</v>
      </c>
      <c r="C29" s="121"/>
      <c r="D29" s="121"/>
      <c r="E29" s="122"/>
      <c r="F29" s="122"/>
      <c r="G29" s="122"/>
      <c r="H29" s="122"/>
      <c r="I29" s="115"/>
      <c r="J29" s="115"/>
      <c r="L29" s="91" t="str">
        <f>Details2025!F23</f>
        <v>Rev.17  12_2024</v>
      </c>
    </row>
    <row r="30" spans="1:20" ht="15.6" customHeight="1" x14ac:dyDescent="0.4">
      <c r="B30" s="127" t="s">
        <v>72</v>
      </c>
      <c r="C30" s="115"/>
      <c r="D30" s="115"/>
      <c r="E30" s="115"/>
      <c r="F30" s="115"/>
      <c r="G30" s="115"/>
      <c r="H30" s="115"/>
      <c r="I30" s="115"/>
      <c r="J30" s="115"/>
      <c r="L30" s="134" t="s">
        <v>74</v>
      </c>
      <c r="M30" s="134"/>
      <c r="N30" s="134"/>
      <c r="O30" s="134"/>
      <c r="P30" s="134"/>
      <c r="Q30" s="134"/>
      <c r="R30" s="134"/>
      <c r="S30" s="134"/>
      <c r="T30" s="134"/>
    </row>
    <row r="31" spans="1:20" ht="15.6" customHeight="1" x14ac:dyDescent="0.4">
      <c r="B31" s="121"/>
      <c r="C31" s="116"/>
      <c r="D31" s="116"/>
      <c r="E31" s="115"/>
      <c r="F31" s="115"/>
      <c r="G31" s="115"/>
      <c r="H31" s="115"/>
      <c r="I31" s="115"/>
      <c r="J31" s="115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1:20" ht="15.6" customHeight="1" x14ac:dyDescent="0.4">
      <c r="B32" s="121" t="s">
        <v>73</v>
      </c>
      <c r="C32" s="121"/>
      <c r="D32" s="121"/>
      <c r="E32" s="122"/>
      <c r="F32" s="115"/>
      <c r="G32" s="115"/>
      <c r="H32" s="115"/>
      <c r="I32" s="115"/>
      <c r="J32" s="115"/>
    </row>
    <row r="33" spans="2:10" ht="15.6" customHeight="1" x14ac:dyDescent="0.4">
      <c r="B33" s="129" t="s">
        <v>75</v>
      </c>
      <c r="C33" s="129"/>
      <c r="D33" s="129"/>
      <c r="E33" s="129"/>
      <c r="F33" s="130"/>
      <c r="G33" s="115"/>
      <c r="H33" s="115"/>
      <c r="I33" s="115"/>
      <c r="J33" s="115"/>
    </row>
    <row r="34" spans="2:10" ht="15.6" customHeight="1" x14ac:dyDescent="0.4">
      <c r="B34" s="121"/>
      <c r="C34" s="116"/>
      <c r="D34" s="116"/>
      <c r="E34" s="115"/>
      <c r="F34" s="115"/>
      <c r="G34" s="115"/>
      <c r="H34" s="115"/>
      <c r="I34" s="115"/>
      <c r="J34" s="115"/>
    </row>
    <row r="35" spans="2:10" ht="15.6" customHeight="1" x14ac:dyDescent="0.45">
      <c r="B35" s="120" t="s">
        <v>76</v>
      </c>
      <c r="C35" s="118"/>
      <c r="D35" s="118"/>
      <c r="E35" s="118"/>
      <c r="F35" s="118"/>
      <c r="G35" s="118"/>
      <c r="H35" s="118"/>
      <c r="I35" s="115"/>
      <c r="J35" s="115"/>
    </row>
    <row r="36" spans="2:10" ht="19.5" x14ac:dyDescent="0.4">
      <c r="B36" s="127" t="s">
        <v>77</v>
      </c>
      <c r="C36" s="117"/>
      <c r="D36" s="117"/>
      <c r="E36" s="118"/>
      <c r="F36" s="118"/>
      <c r="G36" s="118"/>
      <c r="H36" s="118"/>
      <c r="I36" s="115"/>
      <c r="J36" s="115"/>
    </row>
    <row r="37" spans="2:10" ht="19.5" x14ac:dyDescent="0.4">
      <c r="B37" s="123" t="s">
        <v>78</v>
      </c>
      <c r="C37" s="117"/>
      <c r="D37" s="117"/>
      <c r="E37" s="119"/>
      <c r="F37" s="118"/>
      <c r="G37" s="118"/>
      <c r="H37" s="118"/>
      <c r="I37" s="115"/>
      <c r="J37" s="115"/>
    </row>
    <row r="38" spans="2:10" ht="19.5" x14ac:dyDescent="0.4">
      <c r="B38" s="127" t="s">
        <v>79</v>
      </c>
      <c r="C38" s="117"/>
      <c r="D38" s="117"/>
      <c r="E38" s="118"/>
      <c r="F38" s="118"/>
      <c r="G38" s="118"/>
      <c r="H38" s="118"/>
      <c r="I38" s="115"/>
      <c r="J38" s="115"/>
    </row>
    <row r="39" spans="2:10" ht="19.5" x14ac:dyDescent="0.4">
      <c r="B39" s="127" t="s">
        <v>80</v>
      </c>
      <c r="C39" s="117"/>
      <c r="D39" s="117"/>
      <c r="E39" s="118"/>
      <c r="F39" s="118"/>
      <c r="G39" s="118"/>
      <c r="H39" s="118"/>
      <c r="I39" s="115"/>
      <c r="J39" s="115"/>
    </row>
    <row r="40" spans="2:10" ht="19.5" x14ac:dyDescent="0.45">
      <c r="B40" s="124"/>
      <c r="C40" s="118"/>
      <c r="D40" s="118"/>
      <c r="E40" s="118"/>
      <c r="F40" s="118"/>
      <c r="G40" s="118"/>
      <c r="H40" s="118"/>
      <c r="I40" s="115"/>
      <c r="J40" s="115"/>
    </row>
    <row r="41" spans="2:10" ht="19.5" x14ac:dyDescent="0.45">
      <c r="B41" s="120" t="s">
        <v>81</v>
      </c>
      <c r="C41" s="118"/>
      <c r="D41" s="118"/>
      <c r="E41" s="118"/>
      <c r="F41" s="118"/>
      <c r="G41" s="118"/>
      <c r="H41" s="118"/>
      <c r="I41" s="115"/>
      <c r="J41" s="115"/>
    </row>
    <row r="42" spans="2:10" ht="19.5" x14ac:dyDescent="0.45">
      <c r="B42" s="124" t="s">
        <v>82</v>
      </c>
      <c r="C42" s="118"/>
      <c r="D42" s="118"/>
      <c r="E42" s="118"/>
      <c r="F42" s="118"/>
      <c r="G42" s="118"/>
      <c r="H42" s="118"/>
      <c r="I42" s="115"/>
      <c r="J42" s="115"/>
    </row>
    <row r="43" spans="2:10" ht="19.5" x14ac:dyDescent="0.4">
      <c r="B43" s="125" t="s">
        <v>83</v>
      </c>
      <c r="C43" s="118"/>
      <c r="D43" s="118"/>
      <c r="E43" s="118"/>
      <c r="F43" s="118"/>
      <c r="G43" s="118"/>
      <c r="H43" s="118"/>
      <c r="I43" s="115"/>
      <c r="J43" s="115"/>
    </row>
    <row r="44" spans="2:10" ht="19.5" x14ac:dyDescent="0.4">
      <c r="B44" s="127" t="s">
        <v>84</v>
      </c>
      <c r="C44" s="117"/>
      <c r="D44" s="117"/>
      <c r="E44" s="118"/>
      <c r="F44" s="118"/>
      <c r="G44" s="118"/>
      <c r="H44" s="118"/>
      <c r="I44" s="115"/>
      <c r="J44" s="115"/>
    </row>
    <row r="45" spans="2:10" ht="5.25" customHeight="1" x14ac:dyDescent="0.45">
      <c r="B45" s="124"/>
      <c r="C45" s="118"/>
      <c r="D45" s="118"/>
      <c r="E45" s="118"/>
      <c r="F45" s="118"/>
      <c r="G45" s="118"/>
      <c r="H45" s="118"/>
      <c r="I45" s="115"/>
      <c r="J45" s="115"/>
    </row>
  </sheetData>
  <sheetProtection algorithmName="SHA-512" hashValue="MdgrO71tj72C7C4Ui1FMitEbJUZ8pbucmD858YWirDuvTiDA3rvVTcavOW78op8hExYIEpywJAE/T/BrO/GioQ==" saltValue="GYX/teUNqDH9lJ9y0tIwIw==" spinCount="100000" sheet="1" selectLockedCells="1"/>
  <mergeCells count="39">
    <mergeCell ref="D16:E16"/>
    <mergeCell ref="L20:M20"/>
    <mergeCell ref="O7:O8"/>
    <mergeCell ref="P7:P8"/>
    <mergeCell ref="Q7:R8"/>
    <mergeCell ref="F8:J8"/>
    <mergeCell ref="G9:J9"/>
    <mergeCell ref="Q9:R9"/>
    <mergeCell ref="P12:Q13"/>
    <mergeCell ref="R12:R13"/>
    <mergeCell ref="Q4:R4"/>
    <mergeCell ref="G5:H5"/>
    <mergeCell ref="I5:J5"/>
    <mergeCell ref="L5:N6"/>
    <mergeCell ref="Q5:R5"/>
    <mergeCell ref="G6:H6"/>
    <mergeCell ref="I6:J6"/>
    <mergeCell ref="Q6:R6"/>
    <mergeCell ref="C2:E2"/>
    <mergeCell ref="I2:J2"/>
    <mergeCell ref="I3:J3"/>
    <mergeCell ref="Q3:R3"/>
    <mergeCell ref="O1:O2"/>
    <mergeCell ref="S12:S13"/>
    <mergeCell ref="T12:T13"/>
    <mergeCell ref="L30:T31"/>
    <mergeCell ref="L12:O13"/>
    <mergeCell ref="A1:A29"/>
    <mergeCell ref="B1:E1"/>
    <mergeCell ref="L1:L2"/>
    <mergeCell ref="M1:M2"/>
    <mergeCell ref="N1:N2"/>
    <mergeCell ref="G4:H4"/>
    <mergeCell ref="I4:J4"/>
    <mergeCell ref="F13:J20"/>
    <mergeCell ref="I12:J12"/>
    <mergeCell ref="B18:C18"/>
    <mergeCell ref="P1:P2"/>
    <mergeCell ref="Q1:R1"/>
  </mergeCells>
  <conditionalFormatting sqref="F8 P9:Q9">
    <cfRule type="cellIs" dxfId="25" priority="11" operator="lessThan">
      <formula>0</formula>
    </cfRule>
  </conditionalFormatting>
  <conditionalFormatting sqref="I4:I5">
    <cfRule type="cellIs" dxfId="24" priority="5" operator="greaterThan">
      <formula>0</formula>
    </cfRule>
    <cfRule type="cellIs" dxfId="23" priority="6" operator="lessThan">
      <formula>0</formula>
    </cfRule>
  </conditionalFormatting>
  <conditionalFormatting sqref="I6">
    <cfRule type="cellIs" dxfId="22" priority="16" operator="lessThan">
      <formula>0</formula>
    </cfRule>
  </conditionalFormatting>
  <conditionalFormatting sqref="L20">
    <cfRule type="cellIs" dxfId="21" priority="14" operator="lessThan">
      <formula>0</formula>
    </cfRule>
  </conditionalFormatting>
  <conditionalFormatting sqref="L21:M21">
    <cfRule type="cellIs" dxfId="20" priority="13" operator="lessThan">
      <formula>0</formula>
    </cfRule>
  </conditionalFormatting>
  <conditionalFormatting sqref="L4:P4 O5:P7">
    <cfRule type="cellIs" dxfId="19" priority="17" operator="greaterThan">
      <formula>0</formula>
    </cfRule>
    <cfRule type="cellIs" dxfId="18" priority="18" operator="lessThan">
      <formula>0</formula>
    </cfRule>
  </conditionalFormatting>
  <conditionalFormatting sqref="N18:O18">
    <cfRule type="cellIs" dxfId="17" priority="12" operator="lessThan">
      <formula>0</formula>
    </cfRule>
  </conditionalFormatting>
  <conditionalFormatting sqref="S10:T10">
    <cfRule type="cellIs" dxfId="14" priority="15" operator="lessThan">
      <formula>0</formula>
    </cfRule>
  </conditionalFormatting>
  <conditionalFormatting sqref="P15:P27">
    <cfRule type="cellIs" dxfId="1" priority="1" operator="equal">
      <formula>$B$20</formula>
    </cfRule>
    <cfRule type="cellIs" dxfId="0" priority="2" operator="equal">
      <formula>$B$20</formula>
    </cfRule>
  </conditionalFormatting>
  <dataValidations disablePrompts="1" count="1">
    <dataValidation type="list" allowBlank="1" showInputMessage="1" showErrorMessage="1" sqref="B19" xr:uid="{522792DC-419E-4D4D-A186-94F004A03682}">
      <formula1>$P$15:$P$27</formula1>
    </dataValidation>
  </dataValidations>
  <hyperlinks>
    <hyperlink ref="F8:J8" r:id="rId1" display="Video Anleitung Bedienung Kalkulator" xr:uid="{0011C025-6D38-422A-8432-DC6F3FEC8B7C}"/>
    <hyperlink ref="B30" r:id="rId2" location="karte" xr:uid="{B1D58882-F18B-41AC-944E-650F1F5DA7A4}"/>
    <hyperlink ref="B36" r:id="rId3" display="https://neoom.com/loesungen-eeg" xr:uid="{546DD585-4CAE-4954-BF3A-7967F9B17B62}"/>
    <hyperlink ref="B37" r:id="rId4" display="https://wissen.neoom.com/stromlieferung-und-verteilung" xr:uid="{9169D6ED-759A-4871-9A38-F32E7A6EE834}"/>
    <hyperlink ref="B38" r:id="rId5" display="https://wissen.neoom.com/schritt-fuer-schritt-anleitung-kluub" xr:uid="{29488339-F3C0-4C51-82B4-0D1409A8E818}"/>
    <hyperlink ref="B39" r:id="rId6" display="https://wissen.neoom.com/erklaerung-des-tarifblattes" xr:uid="{8AC2C029-63B9-4F46-B203-7B82DB8DB331}"/>
    <hyperlink ref="B44" r:id="rId7" xr:uid="{10BD5397-F8BC-4010-A316-760CAD1CA015}"/>
    <hyperlink ref="B25" r:id="rId8" xr:uid="{DBF49F9B-60C9-42F1-AB20-08635F1BA498}"/>
    <hyperlink ref="B33" r:id="rId9" xr:uid="{5EFB21DA-D955-40B1-BC93-753290E98CCC}"/>
    <hyperlink ref="B33:E33" r:id="rId10" display="https://www.youtube.com/playlist?list=PL3qdefEcGLAmZjl1VvCzxRULtSCNv9lJ4" xr:uid="{24062605-5AC4-4076-AA50-7823B7DD4368}"/>
  </hyperlinks>
  <pageMargins left="0.7" right="0.7" top="0.78740157499999996" bottom="0.78740157499999996" header="0.3" footer="0.3"/>
  <pageSetup paperSize="9" orientation="landscape" horizontalDpi="360" verticalDpi="36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64D9-7D9C-4062-B4ED-327FBE532CB2}">
  <dimension ref="A1:V47"/>
  <sheetViews>
    <sheetView showGridLines="0" tabSelected="1" zoomScaleNormal="100" workbookViewId="0">
      <selection activeCell="D7" sqref="D7"/>
    </sheetView>
  </sheetViews>
  <sheetFormatPr baseColWidth="10" defaultColWidth="10.42578125" defaultRowHeight="16.5" outlineLevelCol="1" x14ac:dyDescent="0.4"/>
  <cols>
    <col min="1" max="1" width="3.42578125" style="4" customWidth="1"/>
    <col min="2" max="2" width="36.5703125" style="4" customWidth="1"/>
    <col min="3" max="3" width="13.5703125" style="4" customWidth="1"/>
    <col min="4" max="4" width="11.7109375" style="4" bestFit="1" customWidth="1"/>
    <col min="5" max="5" width="16.5703125" style="4" customWidth="1"/>
    <col min="6" max="6" width="9.42578125" style="4" customWidth="1"/>
    <col min="7" max="7" width="13.28515625" style="4" bestFit="1" customWidth="1"/>
    <col min="8" max="8" width="14.5703125" style="4" bestFit="1" customWidth="1"/>
    <col min="9" max="9" width="10.140625" style="4" customWidth="1"/>
    <col min="10" max="10" width="11.140625" style="4" customWidth="1"/>
    <col min="11" max="11" width="5.42578125" style="4" customWidth="1"/>
    <col min="12" max="12" width="16.28515625" style="4" customWidth="1" outlineLevel="1"/>
    <col min="13" max="13" width="16.140625" style="4" customWidth="1" outlineLevel="1"/>
    <col min="14" max="14" width="17.140625" style="4" customWidth="1" outlineLevel="1"/>
    <col min="15" max="17" width="21.85546875" style="4" customWidth="1" outlineLevel="1"/>
    <col min="18" max="18" width="22.140625" style="4" customWidth="1" outlineLevel="1"/>
    <col min="19" max="19" width="16.85546875" style="4" customWidth="1" outlineLevel="1"/>
    <col min="20" max="20" width="23.5703125" style="4" customWidth="1" outlineLevel="1"/>
    <col min="21" max="16384" width="10.42578125" style="4"/>
  </cols>
  <sheetData>
    <row r="1" spans="1:22" ht="6" customHeight="1" x14ac:dyDescent="0.4">
      <c r="L1" s="144" t="s">
        <v>1</v>
      </c>
      <c r="M1" s="146" t="s">
        <v>2</v>
      </c>
      <c r="N1" s="148" t="s">
        <v>3</v>
      </c>
      <c r="O1" s="175" t="s">
        <v>4</v>
      </c>
      <c r="P1" s="148" t="s">
        <v>5</v>
      </c>
    </row>
    <row r="2" spans="1:22" ht="54.75" customHeight="1" thickBot="1" x14ac:dyDescent="0.7">
      <c r="A2" s="141"/>
      <c r="B2" s="142" t="s">
        <v>0</v>
      </c>
      <c r="C2" s="143"/>
      <c r="D2" s="143"/>
      <c r="E2" s="143"/>
      <c r="I2" s="7"/>
      <c r="J2" s="7"/>
      <c r="L2" s="145"/>
      <c r="M2" s="147"/>
      <c r="N2" s="149"/>
      <c r="O2" s="176"/>
      <c r="P2" s="149"/>
      <c r="Q2" s="167"/>
      <c r="R2" s="167"/>
    </row>
    <row r="3" spans="1:22" ht="39.950000000000003" customHeight="1" thickBot="1" x14ac:dyDescent="0.45">
      <c r="A3" s="141"/>
      <c r="B3" s="90" t="s">
        <v>85</v>
      </c>
      <c r="C3" s="168" t="s">
        <v>6</v>
      </c>
      <c r="D3" s="169"/>
      <c r="E3" s="170"/>
      <c r="I3" s="171" t="s">
        <v>7</v>
      </c>
      <c r="J3" s="172"/>
      <c r="L3" s="5"/>
      <c r="M3" s="5"/>
      <c r="N3" s="5"/>
      <c r="O3" s="5" t="s">
        <v>86</v>
      </c>
      <c r="P3" s="5" t="s">
        <v>86</v>
      </c>
      <c r="Q3" s="8"/>
      <c r="R3" s="8"/>
    </row>
    <row r="4" spans="1:22" ht="33.75" thickBot="1" x14ac:dyDescent="0.45">
      <c r="A4" s="141"/>
      <c r="B4" s="9"/>
      <c r="C4" s="10" t="s">
        <v>8</v>
      </c>
      <c r="D4" s="11" t="s">
        <v>9</v>
      </c>
      <c r="E4" s="12" t="s">
        <v>10</v>
      </c>
      <c r="G4" s="13"/>
      <c r="H4" s="13"/>
      <c r="I4" s="173" t="s">
        <v>11</v>
      </c>
      <c r="J4" s="174"/>
      <c r="L4" s="14" t="s">
        <v>12</v>
      </c>
      <c r="M4" s="15" t="s">
        <v>13</v>
      </c>
      <c r="N4" s="16" t="s">
        <v>13</v>
      </c>
      <c r="O4" s="15" t="s">
        <v>13</v>
      </c>
      <c r="P4" s="15" t="s">
        <v>13</v>
      </c>
      <c r="Q4" s="167"/>
      <c r="R4" s="167"/>
    </row>
    <row r="5" spans="1:22" s="23" customFormat="1" ht="33" customHeight="1" thickBot="1" x14ac:dyDescent="0.45">
      <c r="A5" s="141"/>
      <c r="B5" s="17" t="s">
        <v>14</v>
      </c>
      <c r="C5" s="18">
        <v>16000</v>
      </c>
      <c r="D5" s="18">
        <v>20</v>
      </c>
      <c r="E5" s="19">
        <f>C5*D5/100</f>
        <v>3200</v>
      </c>
      <c r="F5" s="20"/>
      <c r="G5" s="150" t="s">
        <v>15</v>
      </c>
      <c r="H5" s="151"/>
      <c r="I5" s="152">
        <f>(O7-(C6*(VLOOKUP(B20,P16:Q28,2)/100)))*1.2</f>
        <v>-14131.199999999999</v>
      </c>
      <c r="J5" s="153"/>
      <c r="K5" s="4"/>
      <c r="L5" s="21">
        <f>(C20)*E6/100</f>
        <v>1867.1616000000001</v>
      </c>
      <c r="M5" s="22">
        <f>(C5-E5)*C14/100</f>
        <v>640</v>
      </c>
      <c r="N5" s="22">
        <f>E5*C15/100</f>
        <v>306.56</v>
      </c>
      <c r="O5" s="21">
        <f>C6*-C13/100</f>
        <v>-7600</v>
      </c>
      <c r="P5" s="21">
        <f>((C6-E6)*-C13/100)-(E6*C15/100)</f>
        <v>-7638.4</v>
      </c>
      <c r="Q5" s="177" t="s">
        <v>44</v>
      </c>
      <c r="R5" s="178"/>
    </row>
    <row r="6" spans="1:22" ht="33" customHeight="1" thickBot="1" x14ac:dyDescent="0.45">
      <c r="A6" s="141"/>
      <c r="B6" s="24" t="s">
        <v>17</v>
      </c>
      <c r="C6" s="25">
        <v>80000</v>
      </c>
      <c r="D6" s="18">
        <v>60</v>
      </c>
      <c r="E6" s="26">
        <f>(C6)*D6/100</f>
        <v>48000</v>
      </c>
      <c r="F6" s="27"/>
      <c r="G6" s="179" t="s">
        <v>18</v>
      </c>
      <c r="H6" s="180"/>
      <c r="I6" s="181">
        <f>((P7-(C6*((VLOOKUP(B20,P16:R28,2))/100)))*1.2)-(N8+N9)</f>
        <v>-12399.21408</v>
      </c>
      <c r="J6" s="182"/>
      <c r="L6" s="183"/>
      <c r="M6" s="184"/>
      <c r="N6" s="185"/>
      <c r="O6" s="28">
        <f>C5*C14/100</f>
        <v>800</v>
      </c>
      <c r="P6" s="28">
        <f>M5+N5</f>
        <v>946.56</v>
      </c>
      <c r="Q6" s="189" t="s">
        <v>19</v>
      </c>
      <c r="R6" s="190"/>
    </row>
    <row r="7" spans="1:22" ht="21.95" customHeight="1" thickBot="1" x14ac:dyDescent="0.45">
      <c r="A7" s="141"/>
      <c r="B7" s="29"/>
      <c r="C7" s="30"/>
      <c r="D7" s="1"/>
      <c r="E7" s="31">
        <f>SUM(E5:E6)</f>
        <v>51200</v>
      </c>
      <c r="F7" s="32"/>
      <c r="G7" s="191" t="s">
        <v>87</v>
      </c>
      <c r="H7" s="192"/>
      <c r="I7" s="193">
        <f>I6-I5</f>
        <v>1731.9859199999992</v>
      </c>
      <c r="J7" s="194"/>
      <c r="L7" s="186"/>
      <c r="M7" s="187"/>
      <c r="N7" s="188"/>
      <c r="O7" s="21">
        <f>O5+O6</f>
        <v>-6800</v>
      </c>
      <c r="P7" s="21">
        <f>P5+P6+L5</f>
        <v>-4824.6783999999998</v>
      </c>
      <c r="Q7" s="195" t="s">
        <v>21</v>
      </c>
      <c r="R7" s="196"/>
    </row>
    <row r="8" spans="1:22" ht="12" customHeight="1" thickBot="1" x14ac:dyDescent="0.45">
      <c r="A8" s="141"/>
      <c r="B8" s="2"/>
      <c r="C8" s="2"/>
      <c r="D8" s="2"/>
      <c r="E8" s="33" t="s">
        <v>22</v>
      </c>
      <c r="F8" s="34"/>
      <c r="L8" s="35" t="s">
        <v>23</v>
      </c>
      <c r="M8" s="36"/>
      <c r="N8" s="37">
        <f>O19</f>
        <v>626.4</v>
      </c>
      <c r="O8" s="201">
        <f>O7</f>
        <v>-6800</v>
      </c>
      <c r="P8" s="201">
        <f>P7-($N$8+$N$9)</f>
        <v>-5463.0783999999994</v>
      </c>
      <c r="Q8" s="204" t="s">
        <v>24</v>
      </c>
      <c r="R8" s="205"/>
    </row>
    <row r="9" spans="1:22" ht="20.100000000000001" customHeight="1" thickBot="1" x14ac:dyDescent="0.45">
      <c r="A9" s="141"/>
      <c r="B9" s="38" t="s">
        <v>25</v>
      </c>
      <c r="E9" s="39"/>
      <c r="G9" s="83"/>
      <c r="H9" s="214"/>
      <c r="I9" s="214"/>
      <c r="J9" s="214"/>
      <c r="L9" s="40" t="s">
        <v>27</v>
      </c>
      <c r="M9" s="219"/>
      <c r="N9" s="42">
        <f>VLOOKUP(C16,L23:M28,2)*4*C17</f>
        <v>12</v>
      </c>
      <c r="O9" s="202"/>
      <c r="P9" s="203"/>
      <c r="Q9" s="206"/>
      <c r="R9" s="205"/>
    </row>
    <row r="10" spans="1:22" ht="29.1" customHeight="1" thickBot="1" x14ac:dyDescent="0.45">
      <c r="A10" s="141"/>
      <c r="B10" s="43"/>
      <c r="C10" s="43"/>
      <c r="D10" s="43"/>
      <c r="E10" s="43"/>
      <c r="F10" s="44"/>
      <c r="G10" s="208"/>
      <c r="H10" s="208"/>
      <c r="I10" s="208"/>
      <c r="J10" s="208"/>
      <c r="L10" s="6"/>
      <c r="M10" s="6"/>
      <c r="N10" s="6"/>
      <c r="O10" s="6"/>
      <c r="P10" s="84">
        <f>P8-O8</f>
        <v>1336.9216000000006</v>
      </c>
      <c r="Q10" s="209" t="s">
        <v>28</v>
      </c>
      <c r="R10" s="194"/>
      <c r="U10" s="86"/>
      <c r="V10" s="86"/>
    </row>
    <row r="11" spans="1:22" ht="29.1" hidden="1" customHeight="1" x14ac:dyDescent="0.4">
      <c r="A11" s="141"/>
      <c r="B11" s="4" t="s">
        <v>29</v>
      </c>
      <c r="Q11" s="46"/>
      <c r="R11" s="47"/>
      <c r="S11" s="48"/>
      <c r="U11" s="86"/>
      <c r="V11" s="86"/>
    </row>
    <row r="12" spans="1:22" ht="17.100000000000001" customHeight="1" thickBot="1" x14ac:dyDescent="0.45">
      <c r="A12" s="141"/>
      <c r="B12" s="49" t="s">
        <v>30</v>
      </c>
      <c r="C12" s="50" t="s">
        <v>12</v>
      </c>
      <c r="F12" s="51"/>
      <c r="G12" s="39"/>
      <c r="H12" s="39"/>
      <c r="I12" s="52"/>
      <c r="J12" s="53"/>
    </row>
    <row r="13" spans="1:22" ht="19.5" customHeight="1" thickBot="1" x14ac:dyDescent="0.45">
      <c r="A13" s="141"/>
      <c r="B13" s="3" t="s">
        <v>31</v>
      </c>
      <c r="C13" s="54">
        <v>9.5</v>
      </c>
      <c r="F13" s="55" t="s">
        <v>32</v>
      </c>
      <c r="G13" s="56"/>
      <c r="H13" s="57"/>
      <c r="I13" s="163" t="s">
        <v>33</v>
      </c>
      <c r="J13" s="164"/>
      <c r="L13" s="135" t="s">
        <v>90</v>
      </c>
      <c r="M13" s="136"/>
      <c r="N13" s="136"/>
      <c r="O13" s="137"/>
      <c r="P13" s="135" t="s">
        <v>35</v>
      </c>
      <c r="Q13" s="137"/>
      <c r="R13" s="210" t="s">
        <v>36</v>
      </c>
      <c r="S13" s="131" t="s">
        <v>37</v>
      </c>
      <c r="T13" s="133" t="s">
        <v>38</v>
      </c>
    </row>
    <row r="14" spans="1:22" ht="19.5" customHeight="1" thickBot="1" x14ac:dyDescent="0.45">
      <c r="A14" s="141"/>
      <c r="B14" s="58" t="s">
        <v>39</v>
      </c>
      <c r="C14" s="60">
        <v>5</v>
      </c>
      <c r="F14" s="154" t="s">
        <v>40</v>
      </c>
      <c r="G14" s="155"/>
      <c r="H14" s="155"/>
      <c r="I14" s="156"/>
      <c r="J14" s="157"/>
      <c r="L14" s="138"/>
      <c r="M14" s="139"/>
      <c r="N14" s="139"/>
      <c r="O14" s="140"/>
      <c r="P14" s="138"/>
      <c r="Q14" s="140"/>
      <c r="R14" s="211"/>
      <c r="S14" s="132"/>
      <c r="T14" s="132"/>
      <c r="U14" s="86"/>
      <c r="V14" s="86"/>
    </row>
    <row r="15" spans="1:22" ht="19.5" customHeight="1" thickBot="1" x14ac:dyDescent="0.45">
      <c r="A15" s="141"/>
      <c r="B15" s="58" t="s">
        <v>41</v>
      </c>
      <c r="C15" s="63">
        <v>9.58</v>
      </c>
      <c r="F15" s="158"/>
      <c r="G15" s="155"/>
      <c r="H15" s="155"/>
      <c r="I15" s="155"/>
      <c r="J15" s="159"/>
      <c r="L15" s="14" t="s">
        <v>42</v>
      </c>
      <c r="M15" s="61" t="s">
        <v>43</v>
      </c>
      <c r="N15" s="61" t="s">
        <v>12</v>
      </c>
      <c r="O15" s="62" t="s">
        <v>44</v>
      </c>
      <c r="P15" s="15" t="s">
        <v>45</v>
      </c>
      <c r="Q15" s="15" t="s">
        <v>12</v>
      </c>
      <c r="R15" s="15" t="s">
        <v>12</v>
      </c>
      <c r="S15" s="15" t="s">
        <v>12</v>
      </c>
      <c r="T15" s="15" t="s">
        <v>12</v>
      </c>
    </row>
    <row r="16" spans="1:22" ht="19.5" customHeight="1" thickBot="1" x14ac:dyDescent="0.45">
      <c r="A16" s="141"/>
      <c r="B16" s="58" t="s">
        <v>46</v>
      </c>
      <c r="C16" s="59">
        <v>200</v>
      </c>
      <c r="F16" s="158"/>
      <c r="G16" s="155"/>
      <c r="H16" s="155"/>
      <c r="I16" s="155"/>
      <c r="J16" s="159"/>
      <c r="L16" s="64">
        <v>1</v>
      </c>
      <c r="M16" s="105">
        <v>500</v>
      </c>
      <c r="N16" s="109">
        <v>2.4E-2</v>
      </c>
      <c r="O16" s="103">
        <f>IF(L16&lt;=$E$6,MIN($E$6-N(M15),M16-N(M15))*N16,0)</f>
        <v>12</v>
      </c>
      <c r="P16" s="94" t="s">
        <v>47</v>
      </c>
      <c r="Q16" s="87">
        <v>7.25</v>
      </c>
      <c r="R16" s="95">
        <v>1.5</v>
      </c>
      <c r="S16" s="95">
        <f>Q16*0.28</f>
        <v>2.0300000000000002</v>
      </c>
      <c r="T16" s="87">
        <f>S16+R16</f>
        <v>3.5300000000000002</v>
      </c>
      <c r="U16" s="86"/>
      <c r="V16" s="86"/>
    </row>
    <row r="17" spans="1:22" ht="19.5" customHeight="1" thickBot="1" x14ac:dyDescent="0.45">
      <c r="A17" s="141"/>
      <c r="B17" s="58" t="s">
        <v>48</v>
      </c>
      <c r="C17" s="66">
        <v>1</v>
      </c>
      <c r="D17" s="197"/>
      <c r="E17" s="198"/>
      <c r="F17" s="158"/>
      <c r="G17" s="155"/>
      <c r="H17" s="155"/>
      <c r="I17" s="155"/>
      <c r="J17" s="159"/>
      <c r="L17" s="65">
        <v>501</v>
      </c>
      <c r="M17" s="106">
        <v>1500</v>
      </c>
      <c r="N17" s="110">
        <v>1.7999999999999999E-2</v>
      </c>
      <c r="O17" s="104">
        <f>IF(L17&lt;=$E$6,MIN($E$6-N(M16),M17-N(M16))*N17,0)</f>
        <v>18</v>
      </c>
      <c r="P17" s="96" t="s">
        <v>49</v>
      </c>
      <c r="Q17" s="88">
        <v>9.75</v>
      </c>
      <c r="R17" s="93">
        <v>1.5</v>
      </c>
      <c r="S17" s="93">
        <f t="shared" ref="S17:S28" si="0">Q17*0.28</f>
        <v>2.7300000000000004</v>
      </c>
      <c r="T17" s="97">
        <f t="shared" ref="T17:T28" si="1">S17+R17</f>
        <v>4.2300000000000004</v>
      </c>
      <c r="U17" s="86"/>
      <c r="V17" s="86"/>
    </row>
    <row r="18" spans="1:22" ht="19.5" customHeight="1" thickBot="1" x14ac:dyDescent="0.45">
      <c r="A18" s="141"/>
      <c r="B18" s="67"/>
      <c r="C18" s="68"/>
      <c r="F18" s="158"/>
      <c r="G18" s="155"/>
      <c r="H18" s="155"/>
      <c r="I18" s="155"/>
      <c r="J18" s="159"/>
      <c r="L18" s="65">
        <v>1501</v>
      </c>
      <c r="M18" s="107">
        <v>1000000</v>
      </c>
      <c r="N18" s="111">
        <v>1.2E-2</v>
      </c>
      <c r="O18" s="112">
        <f>IF(L18&lt;=$E$7,MIN($E$7-N(M17),M18-N(M17))*N18,0)</f>
        <v>596.4</v>
      </c>
      <c r="P18" s="96" t="s">
        <v>50</v>
      </c>
      <c r="Q18" s="88">
        <v>7.23</v>
      </c>
      <c r="R18" s="93">
        <v>1.5</v>
      </c>
      <c r="S18" s="93">
        <f t="shared" si="0"/>
        <v>2.0244000000000004</v>
      </c>
      <c r="T18" s="97">
        <f t="shared" si="1"/>
        <v>3.5244000000000004</v>
      </c>
      <c r="U18" s="86"/>
      <c r="V18" s="86"/>
    </row>
    <row r="19" spans="1:22" ht="19.5" customHeight="1" thickBot="1" x14ac:dyDescent="0.45">
      <c r="A19" s="141"/>
      <c r="B19" s="165" t="s">
        <v>51</v>
      </c>
      <c r="C19" s="166"/>
      <c r="F19" s="158"/>
      <c r="G19" s="155"/>
      <c r="H19" s="155"/>
      <c r="I19" s="155"/>
      <c r="J19" s="159"/>
      <c r="L19" s="69"/>
      <c r="M19" s="108"/>
      <c r="N19" s="113" t="s">
        <v>52</v>
      </c>
      <c r="O19" s="114">
        <f>SUM(O16:O18)</f>
        <v>626.4</v>
      </c>
      <c r="P19" s="96" t="s">
        <v>53</v>
      </c>
      <c r="Q19" s="88">
        <v>8.19</v>
      </c>
      <c r="R19" s="93">
        <v>1.5</v>
      </c>
      <c r="S19" s="93">
        <f t="shared" si="0"/>
        <v>2.2932000000000001</v>
      </c>
      <c r="T19" s="97">
        <f t="shared" si="1"/>
        <v>3.7932000000000001</v>
      </c>
      <c r="U19" s="86"/>
      <c r="V19" s="86"/>
    </row>
    <row r="20" spans="1:22" ht="19.5" customHeight="1" thickBot="1" x14ac:dyDescent="0.45">
      <c r="A20" s="141"/>
      <c r="B20" s="85" t="s">
        <v>54</v>
      </c>
      <c r="C20" s="92">
        <f>VLOOKUP($B$20,$P$16:$T$28,5)*1.2</f>
        <v>3.88992</v>
      </c>
      <c r="F20" s="158"/>
      <c r="G20" s="155"/>
      <c r="H20" s="155"/>
      <c r="I20" s="155"/>
      <c r="J20" s="159"/>
      <c r="L20" s="70"/>
      <c r="M20" s="71"/>
      <c r="N20" s="71"/>
      <c r="O20" s="72"/>
      <c r="P20" s="98" t="s">
        <v>54</v>
      </c>
      <c r="Q20" s="88">
        <v>6.22</v>
      </c>
      <c r="R20" s="93">
        <v>1.5</v>
      </c>
      <c r="S20" s="93">
        <f t="shared" si="0"/>
        <v>1.7416</v>
      </c>
      <c r="T20" s="97">
        <f t="shared" si="1"/>
        <v>3.2416</v>
      </c>
      <c r="U20" s="86"/>
      <c r="V20" s="86"/>
    </row>
    <row r="21" spans="1:22" ht="19.5" customHeight="1" thickBot="1" x14ac:dyDescent="0.45">
      <c r="A21" s="141"/>
      <c r="F21" s="160"/>
      <c r="G21" s="161"/>
      <c r="H21" s="161"/>
      <c r="I21" s="161"/>
      <c r="J21" s="162"/>
      <c r="L21" s="199" t="s">
        <v>89</v>
      </c>
      <c r="M21" s="200"/>
      <c r="N21" s="73"/>
      <c r="O21" s="72"/>
      <c r="P21" s="99" t="s">
        <v>56</v>
      </c>
      <c r="Q21" s="88">
        <v>5.27</v>
      </c>
      <c r="R21" s="93">
        <v>1.5</v>
      </c>
      <c r="S21" s="93">
        <f t="shared" si="0"/>
        <v>1.4756</v>
      </c>
      <c r="T21" s="97">
        <f t="shared" si="1"/>
        <v>2.9756</v>
      </c>
      <c r="U21" s="86"/>
      <c r="V21" s="86"/>
    </row>
    <row r="22" spans="1:22" ht="18" customHeight="1" thickBot="1" x14ac:dyDescent="0.45">
      <c r="A22" s="141"/>
      <c r="L22" s="74" t="s">
        <v>57</v>
      </c>
      <c r="M22" s="45" t="s">
        <v>58</v>
      </c>
      <c r="N22" s="71"/>
      <c r="O22" s="72"/>
      <c r="P22" s="99" t="s">
        <v>59</v>
      </c>
      <c r="Q22" s="88">
        <v>7.46</v>
      </c>
      <c r="R22" s="93">
        <v>1.5</v>
      </c>
      <c r="S22" s="93">
        <f t="shared" si="0"/>
        <v>2.0888</v>
      </c>
      <c r="T22" s="97">
        <f t="shared" si="1"/>
        <v>3.5888</v>
      </c>
      <c r="U22" s="86"/>
      <c r="V22" s="86"/>
    </row>
    <row r="23" spans="1:22" ht="18" customHeight="1" x14ac:dyDescent="0.4">
      <c r="A23" s="141"/>
      <c r="F23" s="212" t="s">
        <v>88</v>
      </c>
      <c r="G23" s="212"/>
      <c r="H23" s="212"/>
      <c r="I23" s="212"/>
      <c r="J23" s="212"/>
      <c r="L23" s="75">
        <v>10</v>
      </c>
      <c r="M23" s="76">
        <v>7.5</v>
      </c>
      <c r="N23" s="71"/>
      <c r="O23" s="72"/>
      <c r="P23" s="99" t="s">
        <v>61</v>
      </c>
      <c r="Q23" s="88">
        <v>9.11</v>
      </c>
      <c r="R23" s="93">
        <v>1.5</v>
      </c>
      <c r="S23" s="93">
        <f t="shared" si="0"/>
        <v>2.5508000000000002</v>
      </c>
      <c r="T23" s="97">
        <f t="shared" si="1"/>
        <v>4.0508000000000006</v>
      </c>
      <c r="U23" s="86"/>
      <c r="V23" s="86"/>
    </row>
    <row r="24" spans="1:22" ht="18" customHeight="1" x14ac:dyDescent="0.4">
      <c r="A24" s="141"/>
      <c r="L24" s="75">
        <v>20</v>
      </c>
      <c r="M24" s="76">
        <v>6.5</v>
      </c>
      <c r="N24" s="71"/>
      <c r="O24" s="72"/>
      <c r="P24" s="99" t="s">
        <v>63</v>
      </c>
      <c r="Q24" s="88">
        <v>5.39</v>
      </c>
      <c r="R24" s="93">
        <v>1.5</v>
      </c>
      <c r="S24" s="93">
        <f t="shared" si="0"/>
        <v>1.5092000000000001</v>
      </c>
      <c r="T24" s="97">
        <f t="shared" si="1"/>
        <v>3.0091999999999999</v>
      </c>
      <c r="U24" s="86"/>
      <c r="V24" s="86"/>
    </row>
    <row r="25" spans="1:22" ht="18" customHeight="1" x14ac:dyDescent="0.45">
      <c r="A25" s="141"/>
      <c r="B25" s="120" t="s">
        <v>60</v>
      </c>
      <c r="C25" s="121"/>
      <c r="D25" s="121"/>
      <c r="E25" s="122"/>
      <c r="F25" s="122"/>
      <c r="G25" s="122"/>
      <c r="H25" s="122"/>
      <c r="I25" s="122"/>
      <c r="J25" s="122"/>
      <c r="L25" s="75">
        <v>30</v>
      </c>
      <c r="M25" s="76">
        <v>5</v>
      </c>
      <c r="N25" s="71"/>
      <c r="O25" s="72"/>
      <c r="P25" s="99" t="s">
        <v>65</v>
      </c>
      <c r="Q25" s="88">
        <v>5.99</v>
      </c>
      <c r="R25" s="93">
        <v>1.5</v>
      </c>
      <c r="S25" s="93">
        <f t="shared" si="0"/>
        <v>1.6772000000000002</v>
      </c>
      <c r="T25" s="97">
        <f t="shared" si="1"/>
        <v>3.1772</v>
      </c>
      <c r="U25" s="86"/>
      <c r="V25" s="86"/>
    </row>
    <row r="26" spans="1:22" ht="18" customHeight="1" x14ac:dyDescent="0.4">
      <c r="A26" s="141"/>
      <c r="B26" s="121" t="s">
        <v>62</v>
      </c>
      <c r="C26" s="121"/>
      <c r="D26" s="121"/>
      <c r="E26" s="122"/>
      <c r="F26" s="122"/>
      <c r="G26" s="122"/>
      <c r="H26" s="122"/>
      <c r="I26" s="122"/>
      <c r="J26" s="122"/>
      <c r="L26" s="75">
        <v>40</v>
      </c>
      <c r="M26" s="76">
        <v>4</v>
      </c>
      <c r="N26" s="71"/>
      <c r="O26" s="72"/>
      <c r="P26" s="99" t="s">
        <v>67</v>
      </c>
      <c r="Q26" s="88">
        <v>7.81</v>
      </c>
      <c r="R26" s="93">
        <v>1.5</v>
      </c>
      <c r="S26" s="93">
        <f t="shared" si="0"/>
        <v>2.1868000000000003</v>
      </c>
      <c r="T26" s="97">
        <f t="shared" si="1"/>
        <v>3.6868000000000003</v>
      </c>
      <c r="U26" s="86"/>
      <c r="V26" s="86"/>
    </row>
    <row r="27" spans="1:22" ht="18" customHeight="1" x14ac:dyDescent="0.45">
      <c r="A27" s="141"/>
      <c r="B27" s="126" t="s">
        <v>64</v>
      </c>
      <c r="C27" s="122"/>
      <c r="D27" s="122"/>
      <c r="E27" s="122"/>
      <c r="F27" s="122"/>
      <c r="G27" s="122"/>
      <c r="H27" s="122"/>
      <c r="I27" s="122"/>
      <c r="J27" s="122"/>
      <c r="L27" s="77">
        <v>50</v>
      </c>
      <c r="M27" s="78">
        <v>3.5</v>
      </c>
      <c r="N27" s="71"/>
      <c r="O27" s="72"/>
      <c r="P27" s="99" t="s">
        <v>69</v>
      </c>
      <c r="Q27" s="88">
        <v>5.4</v>
      </c>
      <c r="R27" s="93">
        <v>1.5</v>
      </c>
      <c r="S27" s="93">
        <f t="shared" si="0"/>
        <v>1.5120000000000002</v>
      </c>
      <c r="T27" s="97">
        <f t="shared" si="1"/>
        <v>3.0120000000000005</v>
      </c>
      <c r="U27" s="86"/>
      <c r="V27" s="86"/>
    </row>
    <row r="28" spans="1:22" ht="18" customHeight="1" thickBot="1" x14ac:dyDescent="0.45">
      <c r="A28" s="141"/>
      <c r="B28" s="121" t="s">
        <v>66</v>
      </c>
      <c r="C28" s="121"/>
      <c r="D28" s="121"/>
      <c r="E28" s="122"/>
      <c r="F28" s="122"/>
      <c r="G28" s="122"/>
      <c r="H28" s="122"/>
      <c r="I28" s="122"/>
      <c r="J28" s="122"/>
      <c r="L28" s="79">
        <v>100</v>
      </c>
      <c r="M28" s="80">
        <v>3</v>
      </c>
      <c r="N28" s="81"/>
      <c r="O28" s="82"/>
      <c r="P28" s="100" t="s">
        <v>71</v>
      </c>
      <c r="Q28" s="89">
        <v>7.39</v>
      </c>
      <c r="R28" s="101">
        <v>1.5</v>
      </c>
      <c r="S28" s="101">
        <f t="shared" si="0"/>
        <v>2.0691999999999999</v>
      </c>
      <c r="T28" s="102">
        <f t="shared" si="1"/>
        <v>3.5691999999999999</v>
      </c>
      <c r="U28" s="86"/>
      <c r="V28" s="86"/>
    </row>
    <row r="29" spans="1:22" ht="19.5" x14ac:dyDescent="0.4">
      <c r="B29" s="121" t="s">
        <v>68</v>
      </c>
      <c r="C29" s="121"/>
      <c r="D29" s="121"/>
      <c r="E29" s="122"/>
      <c r="F29" s="122"/>
      <c r="G29" s="122"/>
      <c r="H29" s="122"/>
      <c r="I29" s="122"/>
      <c r="J29" s="122"/>
      <c r="L29" s="134" t="s">
        <v>74</v>
      </c>
      <c r="M29" s="134"/>
      <c r="N29" s="134"/>
      <c r="O29" s="134"/>
      <c r="P29" s="134"/>
      <c r="Q29" s="134"/>
      <c r="R29" s="134"/>
      <c r="S29" s="134"/>
      <c r="T29" s="134"/>
    </row>
    <row r="30" spans="1:22" ht="19.5" x14ac:dyDescent="0.4">
      <c r="B30" s="121"/>
      <c r="C30" s="121"/>
      <c r="D30" s="121"/>
      <c r="E30" s="122"/>
      <c r="F30" s="122"/>
      <c r="G30" s="122"/>
      <c r="H30" s="122"/>
      <c r="I30" s="122"/>
      <c r="J30" s="122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1:22" ht="19.5" x14ac:dyDescent="0.4">
      <c r="B31" s="121" t="s">
        <v>70</v>
      </c>
      <c r="C31" s="121"/>
      <c r="D31" s="121"/>
      <c r="E31" s="122"/>
      <c r="F31" s="122"/>
      <c r="G31" s="122"/>
      <c r="H31" s="122"/>
      <c r="I31" s="122"/>
      <c r="J31" s="122"/>
    </row>
    <row r="32" spans="1:22" ht="19.5" x14ac:dyDescent="0.4">
      <c r="B32" s="127" t="s">
        <v>72</v>
      </c>
      <c r="C32" s="122"/>
      <c r="D32" s="122"/>
      <c r="E32" s="122"/>
      <c r="F32" s="122"/>
      <c r="G32" s="122"/>
      <c r="H32" s="122"/>
      <c r="I32" s="122"/>
      <c r="J32" s="122"/>
    </row>
    <row r="33" spans="2:10" ht="19.5" x14ac:dyDescent="0.4">
      <c r="B33" s="121"/>
      <c r="C33" s="121"/>
      <c r="D33" s="121"/>
      <c r="E33" s="122"/>
      <c r="F33" s="122"/>
      <c r="G33" s="122"/>
      <c r="H33" s="122"/>
      <c r="I33" s="122"/>
      <c r="J33" s="122"/>
    </row>
    <row r="34" spans="2:10" ht="19.5" x14ac:dyDescent="0.4">
      <c r="B34" s="121" t="s">
        <v>73</v>
      </c>
      <c r="C34" s="121"/>
      <c r="D34" s="121"/>
      <c r="E34" s="122"/>
      <c r="F34" s="122"/>
      <c r="G34" s="122"/>
      <c r="H34" s="122"/>
      <c r="I34" s="122"/>
      <c r="J34" s="122"/>
    </row>
    <row r="35" spans="2:10" ht="19.5" x14ac:dyDescent="0.4">
      <c r="B35" s="213" t="s">
        <v>75</v>
      </c>
      <c r="C35" s="213"/>
      <c r="D35" s="213"/>
      <c r="E35" s="213"/>
      <c r="F35" s="213"/>
      <c r="G35" s="213"/>
      <c r="H35" s="122"/>
      <c r="I35" s="122"/>
      <c r="J35" s="122"/>
    </row>
    <row r="36" spans="2:10" ht="19.5" x14ac:dyDescent="0.4">
      <c r="B36" s="121"/>
      <c r="C36" s="121"/>
      <c r="D36" s="121"/>
      <c r="E36" s="122"/>
      <c r="F36" s="122"/>
      <c r="G36" s="122"/>
      <c r="H36" s="122"/>
      <c r="I36" s="122"/>
      <c r="J36" s="122"/>
    </row>
    <row r="37" spans="2:10" ht="19.5" x14ac:dyDescent="0.45">
      <c r="B37" s="120" t="s">
        <v>76</v>
      </c>
      <c r="C37" s="124"/>
      <c r="D37" s="124"/>
      <c r="E37" s="124"/>
      <c r="F37" s="124"/>
      <c r="G37" s="124"/>
      <c r="H37" s="124"/>
      <c r="I37" s="122"/>
      <c r="J37" s="122"/>
    </row>
    <row r="38" spans="2:10" ht="19.5" x14ac:dyDescent="0.45">
      <c r="B38" s="127" t="s">
        <v>77</v>
      </c>
      <c r="C38" s="128"/>
      <c r="D38" s="128"/>
      <c r="E38" s="124"/>
      <c r="F38" s="124"/>
      <c r="G38" s="124"/>
      <c r="H38" s="124"/>
      <c r="I38" s="122"/>
      <c r="J38" s="122"/>
    </row>
    <row r="39" spans="2:10" ht="19.5" x14ac:dyDescent="0.45">
      <c r="B39" s="123" t="s">
        <v>78</v>
      </c>
      <c r="C39" s="128"/>
      <c r="D39" s="128"/>
      <c r="E39" s="123"/>
      <c r="F39" s="124"/>
      <c r="G39" s="124"/>
      <c r="H39" s="124"/>
      <c r="I39" s="122"/>
      <c r="J39" s="122"/>
    </row>
    <row r="40" spans="2:10" ht="19.5" x14ac:dyDescent="0.45">
      <c r="B40" s="127" t="s">
        <v>79</v>
      </c>
      <c r="C40" s="128"/>
      <c r="D40" s="128"/>
      <c r="E40" s="124"/>
      <c r="F40" s="124"/>
      <c r="G40" s="124"/>
      <c r="H40" s="124"/>
      <c r="I40" s="122"/>
      <c r="J40" s="122"/>
    </row>
    <row r="41" spans="2:10" ht="19.5" x14ac:dyDescent="0.45">
      <c r="B41" s="127" t="s">
        <v>80</v>
      </c>
      <c r="C41" s="128"/>
      <c r="D41" s="128"/>
      <c r="E41" s="124"/>
      <c r="F41" s="124"/>
      <c r="G41" s="124"/>
      <c r="H41" s="124"/>
      <c r="I41" s="122"/>
      <c r="J41" s="122"/>
    </row>
    <row r="42" spans="2:10" ht="19.5" x14ac:dyDescent="0.45">
      <c r="B42" s="124"/>
      <c r="C42" s="124"/>
      <c r="D42" s="124"/>
      <c r="E42" s="124"/>
      <c r="F42" s="124"/>
      <c r="G42" s="124"/>
      <c r="H42" s="124"/>
      <c r="I42" s="122"/>
      <c r="J42" s="122"/>
    </row>
    <row r="43" spans="2:10" ht="19.5" x14ac:dyDescent="0.45">
      <c r="B43" s="120" t="s">
        <v>81</v>
      </c>
      <c r="C43" s="124"/>
      <c r="D43" s="124"/>
      <c r="E43" s="124"/>
      <c r="F43" s="124"/>
      <c r="G43" s="124"/>
      <c r="H43" s="124"/>
      <c r="I43" s="122"/>
      <c r="J43" s="122"/>
    </row>
    <row r="44" spans="2:10" ht="19.5" x14ac:dyDescent="0.45">
      <c r="B44" s="124" t="s">
        <v>82</v>
      </c>
      <c r="C44" s="124"/>
      <c r="D44" s="124"/>
      <c r="E44" s="124"/>
      <c r="F44" s="124"/>
      <c r="G44" s="124"/>
      <c r="H44" s="124"/>
      <c r="I44" s="122"/>
      <c r="J44" s="122"/>
    </row>
    <row r="45" spans="2:10" ht="19.5" x14ac:dyDescent="0.45">
      <c r="B45" s="125" t="s">
        <v>83</v>
      </c>
      <c r="C45" s="124"/>
      <c r="D45" s="124"/>
      <c r="E45" s="124"/>
      <c r="F45" s="124"/>
      <c r="G45" s="124"/>
      <c r="H45" s="124"/>
      <c r="I45" s="122"/>
      <c r="J45" s="122"/>
    </row>
    <row r="46" spans="2:10" ht="19.5" x14ac:dyDescent="0.45">
      <c r="B46" s="127" t="s">
        <v>84</v>
      </c>
      <c r="C46" s="128"/>
      <c r="D46" s="128"/>
      <c r="E46" s="124"/>
      <c r="F46" s="124"/>
      <c r="G46" s="124"/>
      <c r="H46" s="124"/>
      <c r="I46" s="122"/>
      <c r="J46" s="122"/>
    </row>
    <row r="47" spans="2:10" ht="19.5" x14ac:dyDescent="0.45">
      <c r="B47" s="124"/>
      <c r="C47" s="124"/>
      <c r="D47" s="124"/>
      <c r="E47" s="124"/>
      <c r="F47" s="124"/>
      <c r="G47" s="124"/>
      <c r="H47" s="124"/>
      <c r="I47" s="122"/>
      <c r="J47" s="122"/>
    </row>
  </sheetData>
  <mergeCells count="41">
    <mergeCell ref="B35:G35"/>
    <mergeCell ref="P13:Q14"/>
    <mergeCell ref="R13:R14"/>
    <mergeCell ref="P8:P9"/>
    <mergeCell ref="Q8:R9"/>
    <mergeCell ref="H9:J9"/>
    <mergeCell ref="Q10:R10"/>
    <mergeCell ref="I13:J13"/>
    <mergeCell ref="G10:J10"/>
    <mergeCell ref="B19:C19"/>
    <mergeCell ref="L13:O14"/>
    <mergeCell ref="F14:J21"/>
    <mergeCell ref="Q5:R5"/>
    <mergeCell ref="L1:L2"/>
    <mergeCell ref="M1:M2"/>
    <mergeCell ref="N1:N2"/>
    <mergeCell ref="O1:O2"/>
    <mergeCell ref="P1:P2"/>
    <mergeCell ref="Q2:R2"/>
    <mergeCell ref="Q4:R4"/>
    <mergeCell ref="Q6:R6"/>
    <mergeCell ref="G7:H7"/>
    <mergeCell ref="I7:J7"/>
    <mergeCell ref="Q7:R7"/>
    <mergeCell ref="O8:O9"/>
    <mergeCell ref="S13:S14"/>
    <mergeCell ref="T13:T14"/>
    <mergeCell ref="L29:T30"/>
    <mergeCell ref="A2:A28"/>
    <mergeCell ref="B2:E2"/>
    <mergeCell ref="G6:H6"/>
    <mergeCell ref="I6:J6"/>
    <mergeCell ref="L6:N7"/>
    <mergeCell ref="G5:H5"/>
    <mergeCell ref="I5:J5"/>
    <mergeCell ref="C3:E3"/>
    <mergeCell ref="I3:J3"/>
    <mergeCell ref="I4:J4"/>
    <mergeCell ref="D17:E17"/>
    <mergeCell ref="L21:M21"/>
    <mergeCell ref="F23:J23"/>
  </mergeCells>
  <conditionalFormatting sqref="G9:H9 P10:Q10">
    <cfRule type="cellIs" dxfId="13" priority="10" operator="lessThan">
      <formula>0</formula>
    </cfRule>
  </conditionalFormatting>
  <conditionalFormatting sqref="I5:I6">
    <cfRule type="cellIs" dxfId="12" priority="6" operator="greaterThan">
      <formula>0</formula>
    </cfRule>
    <cfRule type="cellIs" dxfId="11" priority="7" operator="lessThan">
      <formula>0</formula>
    </cfRule>
  </conditionalFormatting>
  <conditionalFormatting sqref="I7">
    <cfRule type="cellIs" dxfId="10" priority="15" operator="lessThan">
      <formula>0</formula>
    </cfRule>
  </conditionalFormatting>
  <conditionalFormatting sqref="L21">
    <cfRule type="cellIs" dxfId="9" priority="5" operator="lessThan">
      <formula>0</formula>
    </cfRule>
  </conditionalFormatting>
  <conditionalFormatting sqref="L22:M22">
    <cfRule type="cellIs" dxfId="8" priority="4" operator="lessThan">
      <formula>0</formula>
    </cfRule>
  </conditionalFormatting>
  <conditionalFormatting sqref="L5:P5 O6:P8">
    <cfRule type="cellIs" dxfId="7" priority="16" operator="greaterThan">
      <formula>0</formula>
    </cfRule>
    <cfRule type="cellIs" dxfId="6" priority="17" operator="lessThan">
      <formula>0</formula>
    </cfRule>
  </conditionalFormatting>
  <conditionalFormatting sqref="N19:O19">
    <cfRule type="cellIs" dxfId="5" priority="3" operator="lessThan">
      <formula>0</formula>
    </cfRule>
  </conditionalFormatting>
  <conditionalFormatting sqref="P16:P28">
    <cfRule type="cellIs" dxfId="4" priority="1" operator="equal">
      <formula>$B$20</formula>
    </cfRule>
    <cfRule type="cellIs" dxfId="3" priority="2" operator="equal">
      <formula>$B$20</formula>
    </cfRule>
  </conditionalFormatting>
  <conditionalFormatting sqref="S11">
    <cfRule type="cellIs" dxfId="2" priority="14" operator="lessThan">
      <formula>0</formula>
    </cfRule>
  </conditionalFormatting>
  <dataValidations disablePrompts="1" count="1">
    <dataValidation type="list" allowBlank="1" showInputMessage="1" showErrorMessage="1" sqref="B20" xr:uid="{9E0ED682-44F9-48FD-A963-282437ABA33B}">
      <formula1>$P$16:$P$28</formula1>
    </dataValidation>
  </dataValidations>
  <hyperlinks>
    <hyperlink ref="B32" r:id="rId1" location="karte" xr:uid="{6D7CB586-6E65-4D68-AE3F-51341C30E3AD}"/>
    <hyperlink ref="B38" r:id="rId2" display="https://neoom.com/loesungen-eeg" xr:uid="{A199143E-4CBE-484F-9157-28420438FF5C}"/>
    <hyperlink ref="B39" r:id="rId3" display="https://wissen.neoom.com/stromlieferung-und-verteilung" xr:uid="{0BAB3B5F-6872-4871-89D7-8796348A56C9}"/>
    <hyperlink ref="B40" r:id="rId4" display="https://wissen.neoom.com/schritt-fuer-schritt-anleitung-kluub" xr:uid="{512D41CB-B305-46F1-9251-843645871096}"/>
    <hyperlink ref="B41" r:id="rId5" display="https://wissen.neoom.com/erklaerung-des-tarifblattes" xr:uid="{0A1204C6-83EF-46C4-894D-591D0A39E717}"/>
    <hyperlink ref="B46" r:id="rId6" xr:uid="{B841F7C2-5E37-4B58-8245-CF7DC76636D7}"/>
    <hyperlink ref="B27" r:id="rId7" xr:uid="{FEAED001-7EF5-4361-9287-B54572C25649}"/>
    <hyperlink ref="B35" r:id="rId8" xr:uid="{BE6DE497-5FA5-4350-AF89-EB36F331A0C9}"/>
    <hyperlink ref="B35:G35" r:id="rId9" display="https://www.youtube.com/playlist?list=PL3qdefEcGLAmZjl1VvCzxRULtSCNv9lJ4" xr:uid="{D979D2B3-2FE4-4819-B143-CD85120C86F6}"/>
  </hyperlinks>
  <pageMargins left="0.7" right="0.7" top="0.78740157499999996" bottom="0.78740157499999996" header="0.3" footer="0.3"/>
  <pageSetup paperSize="9" orientation="portrait" horizontalDpi="4294967293" verticalDpi="4294967293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0e6e6b-f86b-488d-8017-ba40a91247ec">
      <Terms xmlns="http://schemas.microsoft.com/office/infopath/2007/PartnerControls"/>
    </lcf76f155ced4ddcb4097134ff3c332f>
    <_Flow_SignoffStatus xmlns="3b0e6e6b-f86b-488d-8017-ba40a91247ec" xsi:nil="true"/>
    <TaxCatchAll xmlns="c34c2743-258f-44a3-8d49-84205cb5a5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B78947F274584DAEA43C7ADA6E7636" ma:contentTypeVersion="19" ma:contentTypeDescription="Ein neues Dokument erstellen." ma:contentTypeScope="" ma:versionID="d71d3107c2f5775aa0942a8575d61ef6">
  <xsd:schema xmlns:xsd="http://www.w3.org/2001/XMLSchema" xmlns:xs="http://www.w3.org/2001/XMLSchema" xmlns:p="http://schemas.microsoft.com/office/2006/metadata/properties" xmlns:ns2="c34c2743-258f-44a3-8d49-84205cb5a5cb" xmlns:ns3="3b0e6e6b-f86b-488d-8017-ba40a91247ec" targetNamespace="http://schemas.microsoft.com/office/2006/metadata/properties" ma:root="true" ma:fieldsID="6629f5f5d442da1343bbec56d27ddaa8" ns2:_="" ns3:_="">
    <xsd:import namespace="c34c2743-258f-44a3-8d49-84205cb5a5cb"/>
    <xsd:import namespace="3b0e6e6b-f86b-488d-8017-ba40a91247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c2743-258f-44a3-8d49-84205cb5a5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description="" ma:hidden="true" ma:list="{bddddda4-c1aa-450a-ae22-b4823b615a95}" ma:internalName="TaxCatchAll" ma:showField="CatchAllData" ma:web="c34c2743-258f-44a3-8d49-84205cb5a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6e6b-f86b-488d-8017-ba40a9124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e72187a-74fa-472b-8043-615bde5e9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291D9-8EDE-4398-B43F-19DB6DBB13B9}">
  <ds:schemaRefs>
    <ds:schemaRef ds:uri="http://schemas.microsoft.com/office/2006/metadata/properties"/>
    <ds:schemaRef ds:uri="http://schemas.microsoft.com/office/infopath/2007/PartnerControls"/>
    <ds:schemaRef ds:uri="3b0e6e6b-f86b-488d-8017-ba40a91247ec"/>
    <ds:schemaRef ds:uri="c34c2743-258f-44a3-8d49-84205cb5a5cb"/>
  </ds:schemaRefs>
</ds:datastoreItem>
</file>

<file path=customXml/itemProps2.xml><?xml version="1.0" encoding="utf-8"?>
<ds:datastoreItem xmlns:ds="http://schemas.openxmlformats.org/officeDocument/2006/customXml" ds:itemID="{57065BC3-AC5F-4B21-9CEB-63C22795D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c2743-258f-44a3-8d49-84205cb5a5cb"/>
    <ds:schemaRef ds:uri="3b0e6e6b-f86b-488d-8017-ba40a9124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78D9A-37B3-4E6F-A1C3-59CB7861D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Kompakt2025</vt:lpstr>
      <vt:lpstr>Details2025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>Markus Lafer</cp:lastModifiedBy>
  <cp:revision/>
  <dcterms:created xsi:type="dcterms:W3CDTF">2023-05-18T03:21:04Z</dcterms:created>
  <dcterms:modified xsi:type="dcterms:W3CDTF">2024-12-12T14:40:27Z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0x01010096B78947F274584DAEA43C7ADA6E7636</vt:lpwstr>
  </property>
  <property fmtid="{D5CDD505-2E9C-101B-9397-08002B2CF9AE}" pid="3" name="MediaServiceImageTags">
    <vt:lpwstr/>
  </property>
</Properties>
</file>