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tec-my.sharepoint.com/personal/markus_lafer_neoom_com/Documents/Dokumente/KLUUB/"/>
    </mc:Choice>
  </mc:AlternateContent>
  <xr:revisionPtr revIDLastSave="126" documentId="8_{9EB7113E-CC2F-436E-B978-5D622CB6887F}" xr6:coauthVersionLast="47" xr6:coauthVersionMax="47" xr10:uidLastSave="{0EA119D2-80B7-4598-9F3D-FE236D997DBB}"/>
  <bookViews>
    <workbookView xWindow="-120" yWindow="-120" windowWidth="29040" windowHeight="15720" tabRatio="527" activeTab="3" xr2:uid="{00000000-000D-0000-FFFF-FFFF00000000}"/>
  </bookViews>
  <sheets>
    <sheet name="Kompakt2025" sheetId="5" r:id="rId1"/>
    <sheet name="Details2025" sheetId="6" r:id="rId2"/>
    <sheet name="Kompakt2024" sheetId="3" r:id="rId3"/>
    <sheet name="Details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5" l="1"/>
  <c r="O5" i="6"/>
  <c r="B2" i="5" l="1"/>
  <c r="L29" i="5"/>
  <c r="F22" i="3"/>
  <c r="C20" i="6"/>
  <c r="N9" i="6"/>
  <c r="O6" i="6"/>
  <c r="E6" i="6"/>
  <c r="P5" i="6" s="1"/>
  <c r="E5" i="6"/>
  <c r="N5" i="6" s="1"/>
  <c r="F22" i="5"/>
  <c r="C19" i="5"/>
  <c r="N8" i="5"/>
  <c r="E5" i="5"/>
  <c r="P4" i="5" s="1"/>
  <c r="O4" i="5"/>
  <c r="E4" i="5"/>
  <c r="N4" i="5" s="1"/>
  <c r="O4" i="3"/>
  <c r="C19" i="3"/>
  <c r="N8" i="3"/>
  <c r="O5" i="3"/>
  <c r="E5" i="3"/>
  <c r="E4" i="3"/>
  <c r="M4" i="3" s="1"/>
  <c r="O5" i="4"/>
  <c r="O6" i="4"/>
  <c r="C20" i="4"/>
  <c r="N9" i="4"/>
  <c r="E6" i="4"/>
  <c r="E5" i="4"/>
  <c r="N5" i="4" s="1"/>
  <c r="L5" i="4" l="1"/>
  <c r="L4" i="5"/>
  <c r="L5" i="6"/>
  <c r="O7" i="6"/>
  <c r="O8" i="6" s="1"/>
  <c r="I5" i="6" s="1"/>
  <c r="O6" i="5"/>
  <c r="O7" i="5" s="1"/>
  <c r="I4" i="5" s="1"/>
  <c r="E6" i="5"/>
  <c r="O17" i="5" s="1"/>
  <c r="M5" i="6"/>
  <c r="P6" i="6" s="1"/>
  <c r="E7" i="6"/>
  <c r="M4" i="5"/>
  <c r="P5" i="5" s="1"/>
  <c r="L4" i="3"/>
  <c r="P4" i="3"/>
  <c r="M5" i="4"/>
  <c r="P6" i="4" s="1"/>
  <c r="O7" i="4"/>
  <c r="O8" i="4" s="1"/>
  <c r="I5" i="4" s="1"/>
  <c r="E7" i="4"/>
  <c r="P5" i="4"/>
  <c r="O6" i="3"/>
  <c r="O7" i="3" s="1"/>
  <c r="I4" i="3" s="1"/>
  <c r="E6" i="3"/>
  <c r="N4" i="3"/>
  <c r="P5" i="3" s="1"/>
  <c r="P7" i="6" l="1"/>
  <c r="P6" i="5"/>
  <c r="O16" i="5"/>
  <c r="O15" i="5"/>
  <c r="O18" i="6"/>
  <c r="O17" i="6"/>
  <c r="O16" i="6"/>
  <c r="P6" i="3"/>
  <c r="P7" i="4"/>
  <c r="O17" i="4"/>
  <c r="O18" i="4"/>
  <c r="O16" i="4"/>
  <c r="O17" i="3"/>
  <c r="O15" i="3"/>
  <c r="O16" i="3"/>
  <c r="O18" i="5" l="1"/>
  <c r="N7" i="5" s="1"/>
  <c r="P7" i="5" s="1"/>
  <c r="I5" i="5" s="1"/>
  <c r="O19" i="6"/>
  <c r="N8" i="6" s="1"/>
  <c r="O19" i="4"/>
  <c r="N8" i="4" s="1"/>
  <c r="P8" i="4" s="1"/>
  <c r="I6" i="4" s="1"/>
  <c r="O18" i="3"/>
  <c r="N7" i="3" s="1"/>
  <c r="P7" i="3" l="1"/>
  <c r="I6" i="5"/>
  <c r="P8" i="6"/>
  <c r="P9" i="5"/>
  <c r="I7" i="4"/>
  <c r="P10" i="4"/>
  <c r="I6" i="6" l="1"/>
  <c r="I7" i="6" s="1"/>
  <c r="P9" i="3"/>
  <c r="I5" i="3"/>
  <c r="I6" i="3" s="1"/>
  <c r="P10" i="6"/>
</calcChain>
</file>

<file path=xl/sharedStrings.xml><?xml version="1.0" encoding="utf-8"?>
<sst xmlns="http://schemas.openxmlformats.org/spreadsheetml/2006/main" count="294" uniqueCount="69">
  <si>
    <t>neoom KLUUB EEG-Kalkulator</t>
  </si>
  <si>
    <t>Netzkosten
ersparnis**</t>
  </si>
  <si>
    <t>Erlöse für PV
Std-Einspeiser
Anteil</t>
  </si>
  <si>
    <t>Erlöse für PV
EEG-Anteil</t>
  </si>
  <si>
    <t>Stromkosten für
Std-Bezugstarif
(ohne Strompreisb.)</t>
  </si>
  <si>
    <t>Stromkosten für
EEG-Mitglied
(ohne Strompreisb.)</t>
  </si>
  <si>
    <t>EEG-Anteil*</t>
  </si>
  <si>
    <t>Stromkosten (Brutto)
inkl. Netzgebühren</t>
  </si>
  <si>
    <t>kWh</t>
  </si>
  <si>
    <t>%</t>
  </si>
  <si>
    <t>kWh
in/aus EEG</t>
  </si>
  <si>
    <t>€
 (ohne Strompreisbremse)</t>
  </si>
  <si>
    <t>Cent/kWh</t>
  </si>
  <si>
    <t>€/Jahr</t>
  </si>
  <si>
    <t>Überschuss PV-Anlage</t>
  </si>
  <si>
    <t>Stromkosten ohne EEG</t>
  </si>
  <si>
    <t>Kosten (Netto)</t>
  </si>
  <si>
    <t>Bezug vom Netz</t>
  </si>
  <si>
    <t>Stromkosten mit EEG</t>
  </si>
  <si>
    <t>Erlöse PV  (Brutto)</t>
  </si>
  <si>
    <t>Ersparnis/Jahr (Brutto)                  ca.:</t>
  </si>
  <si>
    <t>ohne Servicegebühren</t>
  </si>
  <si>
    <t>Summe EEG-Anteil</t>
  </si>
  <si>
    <r>
      <t>Servicebeitrag</t>
    </r>
    <r>
      <rPr>
        <sz val="9"/>
        <color theme="1"/>
        <rFont val="Titillium Web"/>
      </rPr>
      <t xml:space="preserve"> (Jahr)</t>
    </r>
  </si>
  <si>
    <t>abzüglich Servicegebühren
zuzüglich Netzgebührersparnis</t>
  </si>
  <si>
    <t xml:space="preserve">* die genaue Kostenersparnis ist abhängig vom Energie-Anteil aus/in EEG; </t>
  </si>
  <si>
    <r>
      <t xml:space="preserve">Betriebskosten </t>
    </r>
    <r>
      <rPr>
        <sz val="9"/>
        <color theme="1"/>
        <rFont val="Titillium Web"/>
      </rPr>
      <t>(Jahr)</t>
    </r>
  </si>
  <si>
    <t>EEG-Ersparnis (Netto)</t>
  </si>
  <si>
    <t>1,4 ct/kWh (Ende Aussetzung Energieabgabe)</t>
  </si>
  <si>
    <t>Tarife und Netz</t>
  </si>
  <si>
    <t>Arbeitspreis (netto)</t>
  </si>
  <si>
    <t xml:space="preserve">Anleitung: </t>
  </si>
  <si>
    <t>EINGABE-FELD</t>
  </si>
  <si>
    <r>
      <t>Für Berechnung in rot umrandete Felder eigene Daten eingeben!</t>
    </r>
    <r>
      <rPr>
        <b/>
        <sz val="9"/>
        <color rgb="FF3C3C3C"/>
        <rFont val="Titillium Web"/>
      </rPr>
      <t xml:space="preserve">
</t>
    </r>
    <r>
      <rPr>
        <sz val="9"/>
        <color rgb="FF3C3C3C"/>
        <rFont val="Titillium Web"/>
      </rPr>
      <t xml:space="preserve">  1) Einspeise/Bezugs-Mengen anpassen
  2) Preise für Bezug und Einspeisung anpassen
  3) Netzgebiet auswählen (grünes Auswahlfeld)
  4) Gesamt-Teilnehmer-Zahl &amp; eigene Standorte einstellen
  5) EEG-Anteil am Strombezug/Einspeisung definieren:
         PV-Einspeisen typ. 30-70%
         Bezug: ohne Wasserkraft typ. 30 %, mit Kleinwasserkraft bis 60 %
Nur Bezug oder nur Einspeisen ist möglich! </t>
    </r>
  </si>
  <si>
    <t>Servicebeitrag je kWh (Summe aus Einspeisung und Bezug):</t>
  </si>
  <si>
    <t>Ersparnis Netzgebühren 2024</t>
  </si>
  <si>
    <t>Std-Kosten Netz 2024</t>
  </si>
  <si>
    <t>Einspeisetarif z.B. ÖMAG</t>
  </si>
  <si>
    <t xml:space="preserve">Von </t>
  </si>
  <si>
    <t>Bis</t>
  </si>
  <si>
    <t>Kosten</t>
  </si>
  <si>
    <t>Netzgebiet</t>
  </si>
  <si>
    <t>KLUUB EEG -Tarif</t>
  </si>
  <si>
    <t>Burgenland</t>
  </si>
  <si>
    <t>EEG-Teilnehmer: ≥ 10</t>
  </si>
  <si>
    <t>Graz</t>
  </si>
  <si>
    <t>Anzahl Standorte</t>
  </si>
  <si>
    <t>Innsbruck</t>
  </si>
  <si>
    <t xml:space="preserve">SUMME: </t>
  </si>
  <si>
    <t>Kärnten</t>
  </si>
  <si>
    <t>Netzkostenersparnis regionale EEG in:</t>
  </si>
  <si>
    <t>Klagenfurt</t>
  </si>
  <si>
    <t>Steiermark</t>
  </si>
  <si>
    <t>Betriebskosten / Quartal</t>
  </si>
  <si>
    <t>Linz</t>
  </si>
  <si>
    <t>ab Teilnehmer</t>
  </si>
  <si>
    <t>€/Quartal</t>
  </si>
  <si>
    <t>Niederösterreich</t>
  </si>
  <si>
    <t>Oberösterreich</t>
  </si>
  <si>
    <t>Salzburg</t>
  </si>
  <si>
    <t>Vorarlberg</t>
  </si>
  <si>
    <t>Wien</t>
  </si>
  <si>
    <t>Netto</t>
  </si>
  <si>
    <t>Ersparnis/Jahr                               ca.:</t>
  </si>
  <si>
    <t>Video Anleitung Bedienung Kalkulator</t>
  </si>
  <si>
    <t>Rev.12  11_2024</t>
  </si>
  <si>
    <t xml:space="preserve">Tirol </t>
  </si>
  <si>
    <t>Temporäre Zahlen; Steigerungen laut E-Control Musterberechnung für 2025, Netzverlustentgelte auf Stand 2024, Elektrizitätsabgabe 1,5ct/kWh</t>
  </si>
  <si>
    <t>ENTWURF: Zahlen für 2025
(Preise laut Ankündigungen Netzbetreiber)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</si>
</sst>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_-&quot;€&quot;\ * #,##0.000_-;\-&quot;€&quot;\ * #,##0.000_-;_-&quot;€&quot;\ * &quot;-&quot;??_-;_-@_-"/>
    <numFmt numFmtId="167" formatCode="0.0"/>
    <numFmt numFmtId="168" formatCode="#,##0.00_ ;\-#,##0.00\ "/>
    <numFmt numFmtId="169" formatCode="_-&quot;€&quot;\ * #,##0.0_-;\-&quot;€&quot;\ * #,##0.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12529"/>
      <name val="Titillium Web"/>
    </font>
    <font>
      <sz val="9"/>
      <color rgb="FF3C3C3C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b/>
      <sz val="9"/>
      <color theme="1"/>
      <name val="Titillium Web"/>
    </font>
    <font>
      <b/>
      <sz val="9"/>
      <color rgb="FFFF0000"/>
      <name val="Titillium Web"/>
    </font>
    <font>
      <b/>
      <sz val="9"/>
      <color rgb="FF00B050"/>
      <name val="Titillium Web"/>
    </font>
    <font>
      <sz val="9"/>
      <color rgb="FFEB5032"/>
      <name val="Titillium Web"/>
    </font>
    <font>
      <sz val="9"/>
      <color rgb="FFFF0000"/>
      <name val="Titillium Web"/>
    </font>
    <font>
      <sz val="9"/>
      <color rgb="FF00B050"/>
      <name val="Titillium Web"/>
    </font>
    <font>
      <b/>
      <sz val="9"/>
      <color theme="4" tint="0.39997558519241921"/>
      <name val="Titillium Web"/>
    </font>
    <font>
      <sz val="9"/>
      <color rgb="FF96C446"/>
      <name val="Titillium Web"/>
    </font>
    <font>
      <b/>
      <sz val="18"/>
      <color rgb="FF3C3C3C"/>
      <name val="Titillium Web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ECF3DE"/>
        <bgColor indexed="64"/>
      </patternFill>
    </fill>
  </fills>
  <borders count="120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rgb="FF3C3C3C"/>
      </top>
      <bottom style="medium">
        <color rgb="FF3C3C3C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EB5032"/>
      </top>
      <bottom/>
      <diagonal/>
    </border>
    <border>
      <left/>
      <right style="medium">
        <color indexed="64"/>
      </right>
      <top style="medium">
        <color rgb="FFEB5032"/>
      </top>
      <bottom/>
      <diagonal/>
    </border>
    <border>
      <left style="medium">
        <color rgb="FFEB5032"/>
      </left>
      <right/>
      <top style="medium">
        <color rgb="FFEB5032"/>
      </top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/>
      <bottom/>
      <diagonal/>
    </border>
    <border>
      <left style="medium">
        <color rgb="FF3C3C3C"/>
      </left>
      <right/>
      <top/>
      <bottom/>
      <diagonal/>
    </border>
    <border>
      <left/>
      <right style="medium">
        <color rgb="FF3C3C3C"/>
      </right>
      <top style="medium">
        <color rgb="FF3C3C3C"/>
      </top>
      <bottom style="medium">
        <color rgb="FFEB5032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/>
      <diagonal/>
    </border>
    <border>
      <left style="thin">
        <color rgb="FF3C3C3C"/>
      </left>
      <right style="medium">
        <color indexed="64"/>
      </right>
      <top style="medium">
        <color indexed="64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EB5032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rgb="FF3C3C3C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3C3C3C"/>
      </left>
      <right/>
      <top style="medium">
        <color indexed="64"/>
      </top>
      <bottom style="medium">
        <color indexed="64"/>
      </bottom>
      <diagonal/>
    </border>
    <border>
      <left style="medium">
        <color rgb="FF3C3C3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medium">
        <color indexed="64"/>
      </right>
      <top/>
      <bottom style="thin">
        <color rgb="FF3C3C3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/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rgb="FF3C3C3C"/>
      </left>
      <right/>
      <top style="thin">
        <color theme="1"/>
      </top>
      <bottom style="thin">
        <color rgb="FF3C3C3C"/>
      </bottom>
      <diagonal/>
    </border>
    <border>
      <left/>
      <right style="medium">
        <color rgb="FF3C3C3C"/>
      </right>
      <top style="thin">
        <color theme="1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theme="1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thin">
        <color theme="1"/>
      </right>
      <top/>
      <bottom style="thin">
        <color rgb="FF3C3C3C"/>
      </bottom>
      <diagonal/>
    </border>
    <border>
      <left/>
      <right style="medium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medium">
        <color indexed="64"/>
      </top>
      <bottom style="thin">
        <color theme="1"/>
      </bottom>
      <diagonal/>
    </border>
    <border>
      <left/>
      <right style="medium">
        <color rgb="FF3C3C3C"/>
      </right>
      <top style="medium">
        <color indexed="64"/>
      </top>
      <bottom style="thin">
        <color theme="1"/>
      </bottom>
      <diagonal/>
    </border>
    <border>
      <left style="medium">
        <color rgb="FFEB5032"/>
      </left>
      <right style="medium">
        <color rgb="FF3C3C3C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0">
    <xf numFmtId="0" fontId="0" fillId="0" borderId="0" xfId="0"/>
    <xf numFmtId="164" fontId="2" fillId="0" borderId="88" xfId="2" applyFont="1" applyBorder="1" applyAlignment="1" applyProtection="1">
      <alignment vertical="center"/>
      <protection locked="0"/>
    </xf>
    <xf numFmtId="164" fontId="2" fillId="0" borderId="90" xfId="2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vertical="center"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6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31" xfId="0" applyFont="1" applyBorder="1"/>
    <xf numFmtId="0" fontId="3" fillId="0" borderId="32" xfId="0" applyFont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3" borderId="69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46" xfId="1" applyNumberFormat="1" applyFont="1" applyFill="1" applyBorder="1" applyAlignment="1" applyProtection="1">
      <alignment horizontal="center" vertical="center"/>
      <protection locked="0"/>
    </xf>
    <xf numFmtId="165" fontId="3" fillId="0" borderId="111" xfId="1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12" xfId="0" applyFont="1" applyBorder="1" applyAlignment="1">
      <alignment horizontal="left" vertical="center" wrapText="1" indent="1"/>
    </xf>
    <xf numFmtId="0" fontId="3" fillId="0" borderId="52" xfId="1" applyNumberFormat="1" applyFont="1" applyFill="1" applyBorder="1" applyAlignment="1" applyProtection="1">
      <alignment horizontal="center" vertical="center"/>
      <protection locked="0"/>
    </xf>
    <xf numFmtId="165" fontId="3" fillId="0" borderId="35" xfId="1" quotePrefix="1" applyNumberFormat="1" applyFont="1" applyFill="1" applyBorder="1" applyAlignment="1">
      <alignment horizontal="center" vertical="center"/>
    </xf>
    <xf numFmtId="165" fontId="4" fillId="0" borderId="34" xfId="1" applyNumberFormat="1" applyFont="1" applyFill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165" fontId="3" fillId="4" borderId="113" xfId="0" applyNumberFormat="1" applyFont="1" applyFill="1" applyBorder="1" applyAlignment="1">
      <alignment horizontal="center" vertical="center"/>
    </xf>
    <xf numFmtId="165" fontId="4" fillId="0" borderId="34" xfId="1" quotePrefix="1" applyNumberFormat="1" applyFont="1" applyFill="1" applyBorder="1" applyAlignment="1">
      <alignment horizontal="center" vertical="center"/>
    </xf>
    <xf numFmtId="165" fontId="3" fillId="4" borderId="58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12" fillId="2" borderId="19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3" xfId="0" applyFont="1" applyBorder="1"/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4" fontId="6" fillId="0" borderId="18" xfId="2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4" fontId="3" fillId="4" borderId="39" xfId="2" applyFont="1" applyFill="1" applyBorder="1" applyAlignment="1">
      <alignment horizontal="center" vertical="center"/>
    </xf>
    <xf numFmtId="164" fontId="8" fillId="2" borderId="62" xfId="0" applyNumberFormat="1" applyFont="1" applyFill="1" applyBorder="1" applyAlignment="1">
      <alignment horizontal="center" vertical="center"/>
    </xf>
    <xf numFmtId="164" fontId="8" fillId="2" borderId="25" xfId="0" applyNumberFormat="1" applyFont="1" applyFill="1" applyBorder="1" applyAlignment="1">
      <alignment horizontal="center" vertical="center"/>
    </xf>
    <xf numFmtId="164" fontId="3" fillId="4" borderId="37" xfId="2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left" vertical="center" indent="1"/>
    </xf>
    <xf numFmtId="0" fontId="3" fillId="3" borderId="53" xfId="0" applyFont="1" applyFill="1" applyBorder="1" applyAlignment="1">
      <alignment horizontal="center" vertical="center"/>
    </xf>
    <xf numFmtId="0" fontId="4" fillId="0" borderId="55" xfId="0" applyFont="1" applyBorder="1"/>
    <xf numFmtId="0" fontId="4" fillId="0" borderId="59" xfId="0" applyFont="1" applyBorder="1"/>
    <xf numFmtId="0" fontId="4" fillId="0" borderId="50" xfId="0" applyFont="1" applyBorder="1"/>
    <xf numFmtId="167" fontId="9" fillId="0" borderId="98" xfId="0" applyNumberFormat="1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wrapText="1" indent="1"/>
    </xf>
    <xf numFmtId="1" fontId="3" fillId="0" borderId="99" xfId="0" applyNumberFormat="1" applyFont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>
      <alignment horizontal="left" vertical="center" indent="1"/>
    </xf>
    <xf numFmtId="0" fontId="13" fillId="0" borderId="100" xfId="0" applyFont="1" applyBorder="1" applyAlignment="1" applyProtection="1">
      <alignment horizontal="center" vertical="center"/>
      <protection locked="0"/>
    </xf>
    <xf numFmtId="0" fontId="3" fillId="3" borderId="82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167" fontId="3" fillId="0" borderId="100" xfId="0" applyNumberFormat="1" applyFont="1" applyBorder="1" applyAlignment="1" applyProtection="1">
      <alignment horizontal="center" vertical="center"/>
      <protection locked="0"/>
    </xf>
    <xf numFmtId="3" fontId="4" fillId="0" borderId="87" xfId="0" quotePrefix="1" applyNumberFormat="1" applyFont="1" applyBorder="1" applyAlignment="1" applyProtection="1">
      <alignment horizontal="center"/>
      <protection locked="0"/>
    </xf>
    <xf numFmtId="3" fontId="4" fillId="0" borderId="81" xfId="0" quotePrefix="1" applyNumberFormat="1" applyFont="1" applyBorder="1" applyAlignment="1" applyProtection="1">
      <alignment horizontal="center"/>
      <protection locked="0"/>
    </xf>
    <xf numFmtId="166" fontId="4" fillId="0" borderId="81" xfId="2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2" fontId="5" fillId="0" borderId="71" xfId="0" applyNumberFormat="1" applyFont="1" applyBorder="1" applyAlignment="1" applyProtection="1">
      <alignment horizontal="center"/>
      <protection locked="0"/>
    </xf>
    <xf numFmtId="3" fontId="4" fillId="0" borderId="89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/>
      <protection locked="0"/>
    </xf>
    <xf numFmtId="166" fontId="4" fillId="0" borderId="2" xfId="2" applyNumberFormat="1" applyFont="1" applyBorder="1" applyAlignment="1" applyProtection="1">
      <alignment horizont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/>
      <protection locked="0"/>
    </xf>
    <xf numFmtId="1" fontId="3" fillId="0" borderId="101" xfId="0" applyNumberFormat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 applyProtection="1">
      <alignment horizontal="center"/>
      <protection locked="0"/>
    </xf>
    <xf numFmtId="0" fontId="3" fillId="0" borderId="96" xfId="0" applyFont="1" applyBorder="1" applyAlignment="1">
      <alignment horizontal="left" vertical="center" wrapText="1" indent="1"/>
    </xf>
    <xf numFmtId="1" fontId="3" fillId="0" borderId="97" xfId="0" applyNumberFormat="1" applyFont="1" applyBorder="1" applyAlignment="1" applyProtection="1">
      <alignment horizontal="center" vertical="center"/>
      <protection locked="0"/>
    </xf>
    <xf numFmtId="0" fontId="4" fillId="0" borderId="89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3" fillId="4" borderId="5" xfId="0" applyFont="1" applyFill="1" applyBorder="1" applyAlignment="1">
      <alignment horizontal="left" vertical="top" indent="1"/>
    </xf>
    <xf numFmtId="0" fontId="4" fillId="0" borderId="95" xfId="0" applyFont="1" applyBorder="1"/>
    <xf numFmtId="0" fontId="4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168" fontId="3" fillId="4" borderId="27" xfId="1" applyNumberFormat="1" applyFont="1" applyFill="1" applyBorder="1" applyAlignment="1">
      <alignment vertical="center"/>
    </xf>
    <xf numFmtId="0" fontId="6" fillId="0" borderId="0" xfId="0" applyFont="1" applyProtection="1"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164" fontId="3" fillId="4" borderId="92" xfId="2" applyFont="1" applyFill="1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locked="0"/>
    </xf>
    <xf numFmtId="164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164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164" fontId="4" fillId="0" borderId="63" xfId="2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2" fontId="5" fillId="0" borderId="29" xfId="0" applyNumberFormat="1" applyFont="1" applyBorder="1" applyAlignment="1" applyProtection="1">
      <alignment horizontal="center"/>
      <protection locked="0"/>
    </xf>
    <xf numFmtId="169" fontId="3" fillId="0" borderId="0" xfId="2" applyNumberFormat="1" applyFont="1" applyFill="1" applyBorder="1" applyAlignment="1">
      <alignment horizontal="center" vertical="center"/>
    </xf>
    <xf numFmtId="164" fontId="3" fillId="4" borderId="114" xfId="2" applyFont="1" applyFill="1" applyBorder="1" applyAlignment="1">
      <alignment horizontal="center" vertical="center"/>
    </xf>
    <xf numFmtId="0" fontId="3" fillId="4" borderId="115" xfId="0" applyFont="1" applyFill="1" applyBorder="1" applyAlignment="1" applyProtection="1">
      <alignment horizontal="left" vertical="center" indent="1"/>
      <protection locked="0"/>
    </xf>
    <xf numFmtId="2" fontId="4" fillId="0" borderId="0" xfId="0" applyNumberFormat="1" applyFont="1"/>
    <xf numFmtId="2" fontId="5" fillId="0" borderId="116" xfId="0" applyNumberFormat="1" applyFont="1" applyBorder="1" applyAlignment="1" applyProtection="1">
      <alignment horizontal="center"/>
      <protection locked="0"/>
    </xf>
    <xf numFmtId="2" fontId="5" fillId="0" borderId="117" xfId="0" applyNumberFormat="1" applyFont="1" applyBorder="1" applyAlignment="1" applyProtection="1">
      <alignment horizontal="center"/>
      <protection locked="0"/>
    </xf>
    <xf numFmtId="2" fontId="5" fillId="0" borderId="118" xfId="0" applyNumberFormat="1" applyFont="1" applyBorder="1" applyAlignment="1" applyProtection="1">
      <alignment horizontal="center"/>
      <protection locked="0"/>
    </xf>
    <xf numFmtId="2" fontId="5" fillId="0" borderId="66" xfId="0" applyNumberFormat="1" applyFont="1" applyBorder="1" applyAlignment="1" applyProtection="1">
      <alignment horizontal="center"/>
      <protection locked="0"/>
    </xf>
    <xf numFmtId="2" fontId="5" fillId="0" borderId="119" xfId="0" applyNumberFormat="1" applyFont="1" applyBorder="1" applyAlignment="1" applyProtection="1">
      <alignment horizontal="center"/>
      <protection locked="0"/>
    </xf>
    <xf numFmtId="2" fontId="5" fillId="0" borderId="74" xfId="0" applyNumberFormat="1" applyFont="1" applyBorder="1" applyAlignment="1" applyProtection="1">
      <alignment horizontal="center"/>
      <protection locked="0"/>
    </xf>
    <xf numFmtId="0" fontId="10" fillId="0" borderId="31" xfId="0" applyFont="1" applyBorder="1" applyAlignment="1">
      <alignment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left" vertical="center" indent="1"/>
    </xf>
    <xf numFmtId="0" fontId="3" fillId="0" borderId="106" xfId="0" applyFont="1" applyBorder="1" applyAlignment="1">
      <alignment horizontal="left" vertical="center" indent="1"/>
    </xf>
    <xf numFmtId="164" fontId="9" fillId="0" borderId="109" xfId="0" applyNumberFormat="1" applyFont="1" applyBorder="1" applyAlignment="1">
      <alignment horizontal="center" vertical="center"/>
    </xf>
    <xf numFmtId="164" fontId="9" fillId="0" borderId="1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108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3" fillId="0" borderId="45" xfId="1" applyNumberFormat="1" applyFont="1" applyFill="1" applyBorder="1" applyAlignment="1" applyProtection="1">
      <alignment horizontal="center" vertical="center"/>
      <protection locked="0"/>
    </xf>
    <xf numFmtId="0" fontId="3" fillId="0" borderId="47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164" fontId="9" fillId="0" borderId="103" xfId="0" applyNumberFormat="1" applyFont="1" applyBorder="1" applyAlignment="1">
      <alignment horizontal="center" vertical="center"/>
    </xf>
    <xf numFmtId="164" fontId="9" fillId="0" borderId="104" xfId="0" applyNumberFormat="1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164" fontId="3" fillId="4" borderId="105" xfId="2" applyFont="1" applyFill="1" applyBorder="1" applyAlignment="1">
      <alignment horizontal="center" vertical="center"/>
    </xf>
    <xf numFmtId="164" fontId="3" fillId="4" borderId="72" xfId="2" applyFont="1" applyFill="1" applyBorder="1" applyAlignment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164" fontId="10" fillId="0" borderId="20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15" fillId="0" borderId="0" xfId="3" applyFill="1" applyAlignment="1">
      <alignment horizontal="center"/>
    </xf>
    <xf numFmtId="0" fontId="4" fillId="0" borderId="0" xfId="0" applyFont="1" applyAlignment="1">
      <alignment horizontal="left" vertical="top"/>
    </xf>
    <xf numFmtId="164" fontId="3" fillId="4" borderId="38" xfId="2" applyFont="1" applyFill="1" applyBorder="1" applyAlignment="1">
      <alignment horizontal="center" vertical="center"/>
    </xf>
    <xf numFmtId="0" fontId="3" fillId="3" borderId="84" xfId="0" applyFont="1" applyFill="1" applyBorder="1" applyAlignment="1">
      <alignment horizontal="center" vertical="center"/>
    </xf>
    <xf numFmtId="0" fontId="3" fillId="3" borderId="85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4" fillId="0" borderId="10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4" borderId="91" xfId="2" applyFont="1" applyFill="1" applyBorder="1" applyAlignment="1">
      <alignment horizontal="center" vertical="center"/>
    </xf>
    <xf numFmtId="164" fontId="3" fillId="4" borderId="75" xfId="2" applyFont="1" applyFill="1" applyBorder="1" applyAlignment="1">
      <alignment horizontal="center" vertical="center"/>
    </xf>
    <xf numFmtId="0" fontId="4" fillId="0" borderId="0" xfId="0" applyFont="1"/>
    <xf numFmtId="164" fontId="3" fillId="0" borderId="0" xfId="2" applyFont="1" applyFill="1" applyBorder="1" applyAlignment="1">
      <alignment horizontal="center" vertical="center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5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3C3C3C"/>
      <color rgb="FFEB5032"/>
      <color rgb="FFB2B2B2"/>
      <color rgb="FFECF3DE"/>
      <color rgb="FF96C446"/>
      <color rgb="FFFFE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0</xdr:row>
      <xdr:rowOff>242166</xdr:rowOff>
    </xdr:from>
    <xdr:to>
      <xdr:col>1</xdr:col>
      <xdr:colOff>459446</xdr:colOff>
      <xdr:row>0</xdr:row>
      <xdr:rowOff>497474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0675D3-E3F3-4FAC-86E6-DB89B6EBA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348" y="242166"/>
          <a:ext cx="428698" cy="255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1</xdr:row>
      <xdr:rowOff>242166</xdr:rowOff>
    </xdr:from>
    <xdr:to>
      <xdr:col>1</xdr:col>
      <xdr:colOff>459446</xdr:colOff>
      <xdr:row>1</xdr:row>
      <xdr:rowOff>497474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117024-B462-46C2-B30D-6777D21F3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348" y="708891"/>
          <a:ext cx="428698" cy="255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0</xdr:row>
      <xdr:rowOff>242166</xdr:rowOff>
    </xdr:from>
    <xdr:to>
      <xdr:col>1</xdr:col>
      <xdr:colOff>459446</xdr:colOff>
      <xdr:row>0</xdr:row>
      <xdr:rowOff>497474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EA0236F-2469-4A59-9B94-9CC33BF1A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3" y="242166"/>
          <a:ext cx="428698" cy="255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1</xdr:row>
      <xdr:rowOff>242166</xdr:rowOff>
    </xdr:from>
    <xdr:to>
      <xdr:col>1</xdr:col>
      <xdr:colOff>459446</xdr:colOff>
      <xdr:row>1</xdr:row>
      <xdr:rowOff>497474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A17F523-C59C-4EAF-97DD-B945A28F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698" y="238991"/>
          <a:ext cx="431873" cy="258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oom.com/hubfs/Veranstaltungen/EEG_Info_Veranstaltungen/EEG_2023_2024/Tutorial_EEG_Kalkulator_privat.mp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eoom.com/hubfs/Veranstaltungen/EEG_Info_Veranstaltungen/EEG_2023_2024/Tutorial_EEG_Kalkulator_privat.mp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549A-C270-4852-A92D-8831EA4E262C}">
  <dimension ref="A1:U29"/>
  <sheetViews>
    <sheetView showGridLines="0" zoomScale="85" zoomScaleNormal="85" workbookViewId="0">
      <selection activeCell="W7" sqref="W7"/>
    </sheetView>
  </sheetViews>
  <sheetFormatPr baseColWidth="10" defaultColWidth="10.42578125" defaultRowHeight="16.5" outlineLevelCol="1" x14ac:dyDescent="0.4"/>
  <cols>
    <col min="1" max="1" width="3.42578125" style="6" customWidth="1"/>
    <col min="2" max="2" width="39.42578125" style="6" customWidth="1"/>
    <col min="3" max="3" width="9.85546875" style="6" bestFit="1" customWidth="1"/>
    <col min="4" max="4" width="11.7109375" style="6" bestFit="1" customWidth="1"/>
    <col min="5" max="5" width="14.42578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10" width="10.140625" style="6" customWidth="1"/>
    <col min="11" max="11" width="16.28515625" style="6" customWidth="1"/>
    <col min="12" max="12" width="16.28515625" style="6" hidden="1" customWidth="1" outlineLevel="1"/>
    <col min="13" max="13" width="16.140625" style="6" hidden="1" customWidth="1" outlineLevel="1"/>
    <col min="14" max="14" width="17.140625" style="6" hidden="1" customWidth="1" outlineLevel="1"/>
    <col min="15" max="17" width="21.85546875" style="6" hidden="1" customWidth="1" outlineLevel="1"/>
    <col min="18" max="18" width="22.140625" style="6" hidden="1" customWidth="1" outlineLevel="1"/>
    <col min="19" max="20" width="14.140625" style="6" hidden="1" customWidth="1" outlineLevel="1"/>
    <col min="21" max="21" width="10.42578125" style="6" collapsed="1"/>
    <col min="22" max="16384" width="10.42578125" style="6"/>
  </cols>
  <sheetData>
    <row r="1" spans="1:20" ht="68.099999999999994" customHeight="1" thickBot="1" x14ac:dyDescent="0.7">
      <c r="A1" s="117"/>
      <c r="B1" s="118" t="s">
        <v>0</v>
      </c>
      <c r="C1" s="119"/>
      <c r="D1" s="119"/>
      <c r="E1" s="119"/>
      <c r="I1" s="9"/>
      <c r="J1" s="9"/>
      <c r="L1" s="120" t="s">
        <v>1</v>
      </c>
      <c r="M1" s="122" t="s">
        <v>2</v>
      </c>
      <c r="N1" s="124" t="s">
        <v>3</v>
      </c>
      <c r="O1" s="147" t="s">
        <v>4</v>
      </c>
      <c r="P1" s="124" t="s">
        <v>5</v>
      </c>
      <c r="Q1" s="139"/>
      <c r="R1" s="139"/>
    </row>
    <row r="2" spans="1:20" ht="39.950000000000003" customHeight="1" thickBot="1" x14ac:dyDescent="0.45">
      <c r="A2" s="117"/>
      <c r="B2" s="115" t="str">
        <f>Details2025!B3</f>
        <v>ENTWURF: Zahlen für 2025
(Preise laut Ankündigungen Netzbetreiber)</v>
      </c>
      <c r="C2" s="140" t="s">
        <v>6</v>
      </c>
      <c r="D2" s="141"/>
      <c r="E2" s="142"/>
      <c r="I2" s="143" t="s">
        <v>7</v>
      </c>
      <c r="J2" s="144"/>
      <c r="L2" s="121"/>
      <c r="M2" s="123"/>
      <c r="N2" s="125"/>
      <c r="O2" s="148"/>
      <c r="P2" s="125"/>
      <c r="Q2" s="10"/>
      <c r="R2" s="10"/>
    </row>
    <row r="3" spans="1:20" ht="33.75" thickBot="1" x14ac:dyDescent="0.45">
      <c r="A3" s="117"/>
      <c r="B3" s="12"/>
      <c r="C3" s="13" t="s">
        <v>8</v>
      </c>
      <c r="D3" s="14" t="s">
        <v>9</v>
      </c>
      <c r="E3" s="15" t="s">
        <v>10</v>
      </c>
      <c r="G3" s="16"/>
      <c r="H3" s="16"/>
      <c r="I3" s="145" t="s">
        <v>11</v>
      </c>
      <c r="J3" s="146"/>
      <c r="L3" s="17" t="s">
        <v>12</v>
      </c>
      <c r="M3" s="18" t="s">
        <v>13</v>
      </c>
      <c r="N3" s="19" t="s">
        <v>13</v>
      </c>
      <c r="O3" s="18" t="s">
        <v>13</v>
      </c>
      <c r="P3" s="18" t="s">
        <v>13</v>
      </c>
      <c r="Q3" s="139"/>
      <c r="R3" s="139"/>
    </row>
    <row r="4" spans="1:20" s="26" customFormat="1" ht="33" customHeight="1" thickBot="1" x14ac:dyDescent="0.45">
      <c r="A4" s="117"/>
      <c r="B4" s="20" t="s">
        <v>14</v>
      </c>
      <c r="C4" s="21">
        <v>6000</v>
      </c>
      <c r="D4" s="21">
        <v>40</v>
      </c>
      <c r="E4" s="22">
        <f>C4*D4/100</f>
        <v>2400</v>
      </c>
      <c r="F4" s="23"/>
      <c r="G4" s="126" t="s">
        <v>15</v>
      </c>
      <c r="H4" s="127"/>
      <c r="I4" s="128">
        <f>(O7-(C5*VLOOKUP(B19,P15:R27,3)/100)*1.2)</f>
        <v>-1053.5160000000001</v>
      </c>
      <c r="J4" s="129"/>
      <c r="K4" s="6"/>
      <c r="L4" s="24">
        <f>(C19)*E5/100</f>
        <v>93.827359999999985</v>
      </c>
      <c r="M4" s="25">
        <f>(C4-E4)*C13/100</f>
        <v>208.8</v>
      </c>
      <c r="N4" s="25">
        <f>E4*C14/100</f>
        <v>240</v>
      </c>
      <c r="O4" s="24">
        <f>-C5*C12/100</f>
        <v>-750</v>
      </c>
      <c r="P4" s="24">
        <f>(-(C5-E5)*C12/100)-(E5*C14/100)</f>
        <v>-650</v>
      </c>
      <c r="Q4" s="151" t="s">
        <v>16</v>
      </c>
      <c r="R4" s="152"/>
    </row>
    <row r="5" spans="1:20" ht="33" customHeight="1" thickBot="1" x14ac:dyDescent="0.45">
      <c r="A5" s="117"/>
      <c r="B5" s="27" t="s">
        <v>17</v>
      </c>
      <c r="C5" s="28">
        <v>5000</v>
      </c>
      <c r="D5" s="21">
        <v>40</v>
      </c>
      <c r="E5" s="29">
        <f>(C5)*D5/100</f>
        <v>2000</v>
      </c>
      <c r="F5" s="30"/>
      <c r="G5" s="153" t="s">
        <v>18</v>
      </c>
      <c r="H5" s="154"/>
      <c r="I5" s="155">
        <f>(P7-(C5*VLOOKUP(B19,P15:R27,3)/100)*1.2)</f>
        <v>-835.68863999999996</v>
      </c>
      <c r="J5" s="156"/>
      <c r="L5" s="157"/>
      <c r="M5" s="158"/>
      <c r="N5" s="159"/>
      <c r="O5" s="31">
        <f>C4*C13/100</f>
        <v>348</v>
      </c>
      <c r="P5" s="31">
        <f>M4+N4</f>
        <v>448.8</v>
      </c>
      <c r="Q5" s="163" t="s">
        <v>19</v>
      </c>
      <c r="R5" s="164"/>
    </row>
    <row r="6" spans="1:20" ht="21.95" customHeight="1" thickBot="1" x14ac:dyDescent="0.45">
      <c r="A6" s="117"/>
      <c r="B6" s="32"/>
      <c r="C6" s="33"/>
      <c r="D6" s="3"/>
      <c r="E6" s="34">
        <f>SUM(E4:E5)</f>
        <v>4400</v>
      </c>
      <c r="F6" s="35"/>
      <c r="G6" s="165" t="s">
        <v>20</v>
      </c>
      <c r="H6" s="166"/>
      <c r="I6" s="167">
        <f>I5-I4</f>
        <v>217.82736000000011</v>
      </c>
      <c r="J6" s="168"/>
      <c r="L6" s="160"/>
      <c r="M6" s="161"/>
      <c r="N6" s="162"/>
      <c r="O6" s="24">
        <f>O4+O5</f>
        <v>-402</v>
      </c>
      <c r="P6" s="24">
        <f>P4+P5+L4</f>
        <v>-107.37264</v>
      </c>
      <c r="Q6" s="169" t="s">
        <v>21</v>
      </c>
      <c r="R6" s="170"/>
    </row>
    <row r="7" spans="1:20" ht="12" customHeight="1" thickBot="1" x14ac:dyDescent="0.45">
      <c r="A7" s="117"/>
      <c r="B7" s="4"/>
      <c r="C7" s="4"/>
      <c r="D7" s="4"/>
      <c r="E7" s="36" t="s">
        <v>22</v>
      </c>
      <c r="F7" s="37"/>
      <c r="L7" s="38" t="s">
        <v>23</v>
      </c>
      <c r="M7" s="39"/>
      <c r="N7" s="40">
        <f>O18</f>
        <v>64.800000000000011</v>
      </c>
      <c r="O7" s="171">
        <f>O6</f>
        <v>-402</v>
      </c>
      <c r="P7" s="171">
        <f>P6-$N$7-$N$8</f>
        <v>-184.17264</v>
      </c>
      <c r="Q7" s="174" t="s">
        <v>24</v>
      </c>
      <c r="R7" s="175"/>
    </row>
    <row r="8" spans="1:20" ht="20.100000000000001" customHeight="1" thickBot="1" x14ac:dyDescent="0.45">
      <c r="A8" s="117"/>
      <c r="B8" s="41" t="s">
        <v>25</v>
      </c>
      <c r="E8" s="42"/>
      <c r="F8" s="177" t="s">
        <v>64</v>
      </c>
      <c r="G8" s="177"/>
      <c r="H8" s="177"/>
      <c r="I8" s="177"/>
      <c r="J8" s="177"/>
      <c r="L8" s="43" t="s">
        <v>26</v>
      </c>
      <c r="M8" s="44"/>
      <c r="N8" s="45">
        <f>VLOOKUP(C15,L22:M27,2)*4*C16</f>
        <v>12</v>
      </c>
      <c r="O8" s="172"/>
      <c r="P8" s="173"/>
      <c r="Q8" s="176"/>
      <c r="R8" s="175"/>
    </row>
    <row r="9" spans="1:20" ht="29.1" customHeight="1" thickBot="1" x14ac:dyDescent="0.45">
      <c r="A9" s="117"/>
      <c r="B9" s="46"/>
      <c r="C9" s="46"/>
      <c r="D9" s="46"/>
      <c r="E9" s="46"/>
      <c r="F9" s="47"/>
      <c r="G9" s="178"/>
      <c r="H9" s="178"/>
      <c r="I9" s="178"/>
      <c r="J9" s="178"/>
      <c r="L9" s="8"/>
      <c r="M9" s="8"/>
      <c r="N9" s="8"/>
      <c r="O9" s="8"/>
      <c r="P9" s="106">
        <f>P7-O7</f>
        <v>217.82736</v>
      </c>
      <c r="Q9" s="179" t="s">
        <v>27</v>
      </c>
      <c r="R9" s="168"/>
    </row>
    <row r="10" spans="1:20" ht="29.1" hidden="1" customHeight="1" thickBot="1" x14ac:dyDescent="0.45">
      <c r="A10" s="117"/>
      <c r="B10" s="6" t="s">
        <v>28</v>
      </c>
      <c r="Q10" s="49"/>
      <c r="R10" s="50"/>
      <c r="S10" s="51"/>
      <c r="T10" s="51"/>
    </row>
    <row r="11" spans="1:20" ht="17.100000000000001" customHeight="1" thickBot="1" x14ac:dyDescent="0.45">
      <c r="A11" s="117"/>
      <c r="B11" s="52" t="s">
        <v>29</v>
      </c>
      <c r="C11" s="53" t="s">
        <v>12</v>
      </c>
      <c r="F11" s="54"/>
      <c r="G11" s="42"/>
      <c r="H11" s="42"/>
      <c r="I11" s="55"/>
      <c r="J11" s="56"/>
    </row>
    <row r="12" spans="1:20" ht="19.5" customHeight="1" thickBot="1" x14ac:dyDescent="0.45">
      <c r="A12" s="117"/>
      <c r="B12" s="5" t="s">
        <v>30</v>
      </c>
      <c r="C12" s="57">
        <v>15</v>
      </c>
      <c r="F12" s="58" t="s">
        <v>31</v>
      </c>
      <c r="G12" s="59"/>
      <c r="H12" s="60"/>
      <c r="I12" s="149" t="s">
        <v>32</v>
      </c>
      <c r="J12" s="150"/>
    </row>
    <row r="13" spans="1:20" ht="19.5" customHeight="1" thickBot="1" x14ac:dyDescent="0.45">
      <c r="A13" s="117"/>
      <c r="B13" s="61" t="s">
        <v>37</v>
      </c>
      <c r="C13" s="64">
        <v>5.8</v>
      </c>
      <c r="F13" s="130" t="s">
        <v>33</v>
      </c>
      <c r="G13" s="131"/>
      <c r="H13" s="131"/>
      <c r="I13" s="132"/>
      <c r="J13" s="133"/>
      <c r="L13" s="180" t="s">
        <v>34</v>
      </c>
      <c r="M13" s="181"/>
      <c r="N13" s="181"/>
      <c r="O13" s="182"/>
      <c r="P13" s="141" t="s">
        <v>35</v>
      </c>
      <c r="Q13" s="183"/>
      <c r="R13" s="63" t="s">
        <v>36</v>
      </c>
    </row>
    <row r="14" spans="1:20" ht="19.5" customHeight="1" thickBot="1" x14ac:dyDescent="0.45">
      <c r="A14" s="117"/>
      <c r="B14" s="61" t="s">
        <v>42</v>
      </c>
      <c r="C14" s="68">
        <v>10</v>
      </c>
      <c r="F14" s="134"/>
      <c r="G14" s="131"/>
      <c r="H14" s="131"/>
      <c r="I14" s="131"/>
      <c r="J14" s="135"/>
      <c r="L14" s="17" t="s">
        <v>38</v>
      </c>
      <c r="M14" s="65" t="s">
        <v>39</v>
      </c>
      <c r="N14" s="65" t="s">
        <v>12</v>
      </c>
      <c r="O14" s="66" t="s">
        <v>40</v>
      </c>
      <c r="P14" s="67" t="s">
        <v>41</v>
      </c>
      <c r="Q14" s="18" t="s">
        <v>12</v>
      </c>
      <c r="R14" s="18" t="s">
        <v>12</v>
      </c>
    </row>
    <row r="15" spans="1:20" ht="19.5" customHeight="1" thickBot="1" x14ac:dyDescent="0.45">
      <c r="A15" s="117"/>
      <c r="B15" s="61" t="s">
        <v>44</v>
      </c>
      <c r="C15" s="62">
        <v>100</v>
      </c>
      <c r="F15" s="134"/>
      <c r="G15" s="131"/>
      <c r="H15" s="131"/>
      <c r="I15" s="131"/>
      <c r="J15" s="135"/>
      <c r="L15" s="69">
        <v>1</v>
      </c>
      <c r="M15" s="70">
        <v>500</v>
      </c>
      <c r="N15" s="71">
        <v>2.4E-2</v>
      </c>
      <c r="O15" s="1">
        <f>IF(L15&lt;=$E$6,MIN($E$6-N(M14),M15-N(M14))*N15,0)</f>
        <v>12</v>
      </c>
      <c r="P15" s="72" t="s">
        <v>43</v>
      </c>
      <c r="Q15" s="109">
        <v>3.6954991999999987</v>
      </c>
      <c r="R15" s="112">
        <v>8.8036399999999979</v>
      </c>
    </row>
    <row r="16" spans="1:20" ht="19.5" customHeight="1" thickBot="1" x14ac:dyDescent="0.45">
      <c r="A16" s="117"/>
      <c r="B16" s="61" t="s">
        <v>46</v>
      </c>
      <c r="C16" s="79">
        <v>1</v>
      </c>
      <c r="D16" s="184"/>
      <c r="E16" s="185"/>
      <c r="F16" s="134"/>
      <c r="G16" s="131"/>
      <c r="H16" s="131"/>
      <c r="I16" s="131"/>
      <c r="J16" s="135"/>
      <c r="L16" s="74">
        <v>501</v>
      </c>
      <c r="M16" s="75">
        <v>1500</v>
      </c>
      <c r="N16" s="76">
        <v>1.7999999999999999E-2</v>
      </c>
      <c r="O16" s="2">
        <f>IF(L16&lt;=$E$6,MIN($E$6-N(M15),M16-N(M15))*N16,0)</f>
        <v>18</v>
      </c>
      <c r="P16" s="77" t="s">
        <v>49</v>
      </c>
      <c r="Q16" s="110">
        <v>5.2489728000000007</v>
      </c>
      <c r="R16" s="113">
        <v>11.921760000000001</v>
      </c>
    </row>
    <row r="17" spans="1:18" ht="19.5" customHeight="1" x14ac:dyDescent="0.4">
      <c r="A17" s="117"/>
      <c r="B17" s="81"/>
      <c r="C17" s="82"/>
      <c r="F17" s="134"/>
      <c r="G17" s="131"/>
      <c r="H17" s="131"/>
      <c r="I17" s="131"/>
      <c r="J17" s="135"/>
      <c r="L17" s="74">
        <v>1501</v>
      </c>
      <c r="M17" s="80">
        <v>1000000</v>
      </c>
      <c r="N17" s="76">
        <v>1.2E-2</v>
      </c>
      <c r="O17" s="2">
        <f>IF(L17&lt;=$E$6,MIN($E$6-N(M16),M17-N(M16))*N17,0)</f>
        <v>34.800000000000004</v>
      </c>
      <c r="P17" s="77" t="s">
        <v>51</v>
      </c>
      <c r="Q17" s="110">
        <v>4.4293716000000014</v>
      </c>
      <c r="R17" s="113">
        <v>9.3854700000000015</v>
      </c>
    </row>
    <row r="18" spans="1:18" ht="19.5" customHeight="1" thickBot="1" x14ac:dyDescent="0.45">
      <c r="A18" s="117"/>
      <c r="B18" s="85" t="s">
        <v>50</v>
      </c>
      <c r="C18" s="86"/>
      <c r="F18" s="134"/>
      <c r="G18" s="131"/>
      <c r="H18" s="131"/>
      <c r="I18" s="131"/>
      <c r="J18" s="135"/>
      <c r="L18" s="83"/>
      <c r="M18" s="84"/>
      <c r="N18" s="51" t="s">
        <v>48</v>
      </c>
      <c r="O18" s="51">
        <f>SUM(O15:O17)</f>
        <v>64.800000000000011</v>
      </c>
      <c r="P18" s="77" t="s">
        <v>57</v>
      </c>
      <c r="Q18" s="110">
        <v>4.4172075999999993</v>
      </c>
      <c r="R18" s="113">
        <v>9.9051699999999983</v>
      </c>
    </row>
    <row r="19" spans="1:18" ht="19.5" customHeight="1" thickBot="1" x14ac:dyDescent="0.45">
      <c r="A19" s="117"/>
      <c r="B19" s="107" t="s">
        <v>52</v>
      </c>
      <c r="C19" s="91">
        <f>VLOOKUP($B$19,$P$15:$Q$27,2)</f>
        <v>4.6913679999999998</v>
      </c>
      <c r="F19" s="134"/>
      <c r="G19" s="131"/>
      <c r="H19" s="131"/>
      <c r="I19" s="131"/>
      <c r="J19" s="135"/>
      <c r="L19" s="87"/>
      <c r="M19" s="88"/>
      <c r="N19" s="88"/>
      <c r="O19" s="89"/>
      <c r="P19" s="90" t="s">
        <v>58</v>
      </c>
      <c r="Q19" s="110">
        <v>3.9348287999999991</v>
      </c>
      <c r="R19" s="113">
        <v>8.1489599999999989</v>
      </c>
    </row>
    <row r="20" spans="1:18" ht="19.5" customHeight="1" thickBot="1" x14ac:dyDescent="0.45">
      <c r="A20" s="117"/>
      <c r="F20" s="136"/>
      <c r="G20" s="137"/>
      <c r="H20" s="137"/>
      <c r="I20" s="137"/>
      <c r="J20" s="138"/>
      <c r="L20" s="186" t="s">
        <v>53</v>
      </c>
      <c r="M20" s="187"/>
      <c r="N20" s="92"/>
      <c r="O20" s="89"/>
      <c r="P20" s="93" t="s">
        <v>54</v>
      </c>
      <c r="Q20" s="110">
        <v>3.4565951999999998</v>
      </c>
      <c r="R20" s="113">
        <v>7.2458399999999994</v>
      </c>
    </row>
    <row r="21" spans="1:18" ht="18" customHeight="1" thickBot="1" x14ac:dyDescent="0.45">
      <c r="A21" s="117"/>
      <c r="L21" s="94" t="s">
        <v>55</v>
      </c>
      <c r="M21" s="48" t="s">
        <v>56</v>
      </c>
      <c r="N21" s="88"/>
      <c r="O21" s="89"/>
      <c r="P21" s="93" t="s">
        <v>59</v>
      </c>
      <c r="Q21" s="110">
        <v>4.3373504000000001</v>
      </c>
      <c r="R21" s="113">
        <v>9.5556799999999988</v>
      </c>
    </row>
    <row r="22" spans="1:18" ht="18" customHeight="1" x14ac:dyDescent="0.4">
      <c r="A22" s="117"/>
      <c r="F22" s="188" t="str">
        <f>Details2024!F23</f>
        <v>Rev.12  11_2024</v>
      </c>
      <c r="G22" s="188"/>
      <c r="H22" s="188"/>
      <c r="I22" s="188"/>
      <c r="J22" s="188"/>
      <c r="L22" s="95">
        <v>10</v>
      </c>
      <c r="M22" s="96">
        <v>7.5</v>
      </c>
      <c r="N22" s="88"/>
      <c r="O22" s="89"/>
      <c r="P22" s="93" t="s">
        <v>52</v>
      </c>
      <c r="Q22" s="110">
        <v>4.6913679999999998</v>
      </c>
      <c r="R22" s="113">
        <v>10.858599999999999</v>
      </c>
    </row>
    <row r="23" spans="1:18" ht="18" customHeight="1" x14ac:dyDescent="0.4">
      <c r="A23" s="117"/>
      <c r="L23" s="95">
        <v>20</v>
      </c>
      <c r="M23" s="96">
        <v>6.5</v>
      </c>
      <c r="N23" s="88"/>
      <c r="O23" s="89"/>
      <c r="P23" s="93" t="s">
        <v>45</v>
      </c>
      <c r="Q23" s="110">
        <v>4.1385975999999998</v>
      </c>
      <c r="R23" s="113">
        <v>8.0744199999999999</v>
      </c>
    </row>
    <row r="24" spans="1:18" ht="18" customHeight="1" x14ac:dyDescent="0.4">
      <c r="A24" s="117"/>
      <c r="B24" s="8"/>
      <c r="L24" s="95">
        <v>30</v>
      </c>
      <c r="M24" s="96">
        <v>5</v>
      </c>
      <c r="N24" s="88"/>
      <c r="O24" s="89"/>
      <c r="P24" s="93" t="s">
        <v>66</v>
      </c>
      <c r="Q24" s="110">
        <v>4.0476599999999996</v>
      </c>
      <c r="R24" s="113">
        <v>8.1224999999999987</v>
      </c>
    </row>
    <row r="25" spans="1:18" ht="18" customHeight="1" x14ac:dyDescent="0.4">
      <c r="A25" s="117"/>
      <c r="L25" s="95">
        <v>40</v>
      </c>
      <c r="M25" s="96">
        <v>4</v>
      </c>
      <c r="N25" s="88"/>
      <c r="O25" s="89"/>
      <c r="P25" s="93" t="s">
        <v>47</v>
      </c>
      <c r="Q25" s="110">
        <v>4.6783060000000001</v>
      </c>
      <c r="R25" s="113">
        <v>10.27195</v>
      </c>
    </row>
    <row r="26" spans="1:18" ht="18" customHeight="1" x14ac:dyDescent="0.4">
      <c r="A26" s="117"/>
      <c r="L26" s="97">
        <v>50</v>
      </c>
      <c r="M26" s="98">
        <v>3.5</v>
      </c>
      <c r="N26" s="88"/>
      <c r="O26" s="89"/>
      <c r="P26" s="93" t="s">
        <v>60</v>
      </c>
      <c r="Q26" s="110">
        <v>3.7763720000000003</v>
      </c>
      <c r="R26" s="113">
        <v>7.8118999999999996</v>
      </c>
    </row>
    <row r="27" spans="1:18" ht="18" customHeight="1" thickBot="1" x14ac:dyDescent="0.45">
      <c r="A27" s="117"/>
      <c r="L27" s="99">
        <v>100</v>
      </c>
      <c r="M27" s="100">
        <v>3</v>
      </c>
      <c r="N27" s="101"/>
      <c r="O27" s="102"/>
      <c r="P27" s="103" t="s">
        <v>61</v>
      </c>
      <c r="Q27" s="111">
        <v>4.3174600000000005</v>
      </c>
      <c r="R27" s="114">
        <v>9.3354999999999997</v>
      </c>
    </row>
    <row r="29" spans="1:18" x14ac:dyDescent="0.4">
      <c r="L29" s="116" t="str">
        <f>Details2025!L30</f>
        <v>Temporäre Zahlen; Steigerungen laut E-Control Musterberechnung für 2025, Netzverlustentgelte auf Stand 2024, Elektrizitätsabgabe 1,5ct/kWh</v>
      </c>
    </row>
  </sheetData>
  <sheetProtection algorithmName="SHA-512" hashValue="rmcwcBL7aPIM2gZ0za8l6xA6mUqggo4d8jgBHibAv7SNR4ooo6q42bg3OM4a1Z4LJnmkmqe91BCOKEKINiidCg==" saltValue="gGRv3hc0MFkR9GSrKx+Ndg==" spinCount="100000" sheet="1" selectLockedCells="1"/>
  <mergeCells count="35">
    <mergeCell ref="P13:Q13"/>
    <mergeCell ref="D16:E16"/>
    <mergeCell ref="L20:M20"/>
    <mergeCell ref="F22:J22"/>
    <mergeCell ref="O7:O8"/>
    <mergeCell ref="P7:P8"/>
    <mergeCell ref="Q7:R8"/>
    <mergeCell ref="F8:J8"/>
    <mergeCell ref="G9:J9"/>
    <mergeCell ref="Q9:R9"/>
    <mergeCell ref="Q4:R4"/>
    <mergeCell ref="G5:H5"/>
    <mergeCell ref="I5:J5"/>
    <mergeCell ref="L5:N6"/>
    <mergeCell ref="Q5:R5"/>
    <mergeCell ref="G6:H6"/>
    <mergeCell ref="I6:J6"/>
    <mergeCell ref="Q6:R6"/>
    <mergeCell ref="P1:P2"/>
    <mergeCell ref="Q1:R1"/>
    <mergeCell ref="C2:E2"/>
    <mergeCell ref="I2:J2"/>
    <mergeCell ref="I3:J3"/>
    <mergeCell ref="Q3:R3"/>
    <mergeCell ref="O1:O2"/>
    <mergeCell ref="A1:A27"/>
    <mergeCell ref="B1:E1"/>
    <mergeCell ref="L1:L2"/>
    <mergeCell ref="M1:M2"/>
    <mergeCell ref="N1:N2"/>
    <mergeCell ref="G4:H4"/>
    <mergeCell ref="I4:J4"/>
    <mergeCell ref="F13:J20"/>
    <mergeCell ref="I12:J12"/>
    <mergeCell ref="L13:O13"/>
  </mergeCells>
  <conditionalFormatting sqref="F8 P9:Q9">
    <cfRule type="cellIs" dxfId="51" priority="7" operator="lessThan">
      <formula>0</formula>
    </cfRule>
  </conditionalFormatting>
  <conditionalFormatting sqref="I6">
    <cfRule type="cellIs" dxfId="50" priority="12" operator="lessThan">
      <formula>0</formula>
    </cfRule>
  </conditionalFormatting>
  <conditionalFormatting sqref="L20">
    <cfRule type="cellIs" dxfId="49" priority="10" operator="lessThan">
      <formula>0</formula>
    </cfRule>
  </conditionalFormatting>
  <conditionalFormatting sqref="L21:M21">
    <cfRule type="cellIs" dxfId="48" priority="9" operator="lessThan">
      <formula>0</formula>
    </cfRule>
  </conditionalFormatting>
  <conditionalFormatting sqref="L4:P4 O5:P7">
    <cfRule type="cellIs" dxfId="47" priority="13" operator="greaterThan">
      <formula>0</formula>
    </cfRule>
    <cfRule type="cellIs" dxfId="46" priority="14" operator="lessThan">
      <formula>0</formula>
    </cfRule>
  </conditionalFormatting>
  <conditionalFormatting sqref="N18:O18">
    <cfRule type="cellIs" dxfId="45" priority="8" operator="lessThan">
      <formula>0</formula>
    </cfRule>
  </conditionalFormatting>
  <conditionalFormatting sqref="P15:P27">
    <cfRule type="cellIs" dxfId="44" priority="5" operator="equal">
      <formula>$B$20</formula>
    </cfRule>
    <cfRule type="cellIs" dxfId="43" priority="6" operator="equal">
      <formula>$B$20</formula>
    </cfRule>
  </conditionalFormatting>
  <conditionalFormatting sqref="S10:T10">
    <cfRule type="cellIs" dxfId="42" priority="11" operator="lessThan">
      <formula>0</formula>
    </cfRule>
  </conditionalFormatting>
  <conditionalFormatting sqref="I4:I5">
    <cfRule type="cellIs" dxfId="1" priority="1" operator="greaterThan">
      <formula>0</formula>
    </cfRule>
    <cfRule type="cellIs" dxfId="0" priority="2" operator="lessThan">
      <formula>0</formula>
    </cfRule>
  </conditionalFormatting>
  <dataValidations disablePrompts="1" count="1">
    <dataValidation type="list" allowBlank="1" showInputMessage="1" showErrorMessage="1" sqref="B19" xr:uid="{522792DC-419E-4D4D-A186-94F004A03682}">
      <formula1>$P$15:$P$27</formula1>
    </dataValidation>
  </dataValidations>
  <hyperlinks>
    <hyperlink ref="F8:J8" r:id="rId1" display="Video Anleitung Bedienung Kalkulator" xr:uid="{0011C025-6D38-422A-8432-DC6F3FEC8B7C}"/>
  </hyperlinks>
  <pageMargins left="0.7" right="0.7" top="0.78740157499999996" bottom="0.78740157499999996" header="0.3" footer="0.3"/>
  <pageSetup paperSize="9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64D9-7D9C-4062-B4ED-327FBE532CB2}">
  <dimension ref="A1:V30"/>
  <sheetViews>
    <sheetView showGridLines="0" zoomScale="85" zoomScaleNormal="85" workbookViewId="0">
      <selection activeCell="C14" sqref="C14"/>
    </sheetView>
  </sheetViews>
  <sheetFormatPr baseColWidth="10" defaultColWidth="10.42578125" defaultRowHeight="16.5" outlineLevelCol="1" x14ac:dyDescent="0.4"/>
  <cols>
    <col min="1" max="1" width="3.42578125" style="6" customWidth="1"/>
    <col min="2" max="2" width="34.7109375" style="6" customWidth="1"/>
    <col min="3" max="3" width="9.85546875" style="6" bestFit="1" customWidth="1"/>
    <col min="4" max="4" width="11.7109375" style="6" bestFit="1" customWidth="1"/>
    <col min="5" max="5" width="16.5703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9" width="10.140625" style="6" customWidth="1"/>
    <col min="10" max="10" width="11.140625" style="6" customWidth="1"/>
    <col min="11" max="11" width="16.28515625" style="6" customWidth="1"/>
    <col min="12" max="12" width="16.28515625" style="6" customWidth="1" outlineLevel="1"/>
    <col min="13" max="13" width="16.140625" style="6" bestFit="1" customWidth="1" outlineLevel="1"/>
    <col min="14" max="14" width="17.140625" style="6" customWidth="1" outlineLevel="1"/>
    <col min="15" max="17" width="21.85546875" style="6" customWidth="1" outlineLevel="1"/>
    <col min="18" max="18" width="22.140625" style="6" bestFit="1" customWidth="1" outlineLevel="1"/>
    <col min="19" max="20" width="14.140625" style="6" customWidth="1" outlineLevel="1"/>
    <col min="21" max="16384" width="10.42578125" style="6"/>
  </cols>
  <sheetData>
    <row r="1" spans="1:22" ht="36.75" customHeight="1" x14ac:dyDescent="0.4">
      <c r="L1" s="120" t="s">
        <v>1</v>
      </c>
      <c r="M1" s="122" t="s">
        <v>2</v>
      </c>
      <c r="N1" s="124" t="s">
        <v>3</v>
      </c>
      <c r="O1" s="147" t="s">
        <v>4</v>
      </c>
      <c r="P1" s="124" t="s">
        <v>5</v>
      </c>
    </row>
    <row r="2" spans="1:22" ht="68.099999999999994" customHeight="1" thickBot="1" x14ac:dyDescent="0.7">
      <c r="A2" s="117"/>
      <c r="B2" s="118" t="s">
        <v>0</v>
      </c>
      <c r="C2" s="119"/>
      <c r="D2" s="119"/>
      <c r="E2" s="119"/>
      <c r="I2" s="9"/>
      <c r="J2" s="9"/>
      <c r="L2" s="121"/>
      <c r="M2" s="123"/>
      <c r="N2" s="125"/>
      <c r="O2" s="148"/>
      <c r="P2" s="125"/>
      <c r="Q2" s="139"/>
      <c r="R2" s="139"/>
    </row>
    <row r="3" spans="1:22" ht="39.950000000000003" customHeight="1" thickBot="1" x14ac:dyDescent="0.45">
      <c r="A3" s="117"/>
      <c r="B3" s="115" t="s">
        <v>68</v>
      </c>
      <c r="C3" s="140" t="s">
        <v>6</v>
      </c>
      <c r="D3" s="141"/>
      <c r="E3" s="142"/>
      <c r="I3" s="143" t="s">
        <v>7</v>
      </c>
      <c r="J3" s="144"/>
      <c r="L3" s="7"/>
      <c r="M3" s="7"/>
      <c r="N3" s="7"/>
      <c r="O3" s="7" t="s">
        <v>62</v>
      </c>
      <c r="P3" s="7" t="s">
        <v>62</v>
      </c>
      <c r="Q3" s="10"/>
      <c r="R3" s="10"/>
    </row>
    <row r="4" spans="1:22" ht="33.75" thickBot="1" x14ac:dyDescent="0.45">
      <c r="A4" s="117"/>
      <c r="B4" s="12"/>
      <c r="C4" s="13" t="s">
        <v>8</v>
      </c>
      <c r="D4" s="14" t="s">
        <v>9</v>
      </c>
      <c r="E4" s="15" t="s">
        <v>10</v>
      </c>
      <c r="G4" s="16"/>
      <c r="H4" s="16"/>
      <c r="I4" s="145" t="s">
        <v>11</v>
      </c>
      <c r="J4" s="146"/>
      <c r="L4" s="17" t="s">
        <v>12</v>
      </c>
      <c r="M4" s="18" t="s">
        <v>13</v>
      </c>
      <c r="N4" s="19" t="s">
        <v>13</v>
      </c>
      <c r="O4" s="18" t="s">
        <v>13</v>
      </c>
      <c r="P4" s="18" t="s">
        <v>13</v>
      </c>
      <c r="Q4" s="139"/>
      <c r="R4" s="139"/>
    </row>
    <row r="5" spans="1:22" s="26" customFormat="1" ht="33" customHeight="1" thickBot="1" x14ac:dyDescent="0.45">
      <c r="A5" s="117"/>
      <c r="B5" s="20" t="s">
        <v>14</v>
      </c>
      <c r="C5" s="21">
        <v>6000</v>
      </c>
      <c r="D5" s="21">
        <v>40</v>
      </c>
      <c r="E5" s="22">
        <f>C5*D5/100</f>
        <v>2400</v>
      </c>
      <c r="F5" s="23"/>
      <c r="G5" s="126" t="s">
        <v>15</v>
      </c>
      <c r="H5" s="127"/>
      <c r="I5" s="128">
        <f>(O8-(C6*VLOOKUP(B20,P16:R28,3)/100)*1.2)</f>
        <v>-1053.5160000000001</v>
      </c>
      <c r="J5" s="129"/>
      <c r="K5" s="6"/>
      <c r="L5" s="24">
        <f>(C20)*E6/100</f>
        <v>93.827359999999985</v>
      </c>
      <c r="M5" s="25">
        <f>(C5-E5)*C14/100</f>
        <v>208.8</v>
      </c>
      <c r="N5" s="25">
        <f>E5*C15/100</f>
        <v>240</v>
      </c>
      <c r="O5" s="24">
        <f>C6*-C13/100</f>
        <v>-750</v>
      </c>
      <c r="P5" s="24">
        <f>((C6-E6)*-C13/100)-(E6*C15/100)</f>
        <v>-650</v>
      </c>
      <c r="Q5" s="151" t="s">
        <v>40</v>
      </c>
      <c r="R5" s="152"/>
    </row>
    <row r="6" spans="1:22" ht="33" customHeight="1" thickBot="1" x14ac:dyDescent="0.45">
      <c r="A6" s="117"/>
      <c r="B6" s="27" t="s">
        <v>17</v>
      </c>
      <c r="C6" s="28">
        <v>5000</v>
      </c>
      <c r="D6" s="21">
        <v>40</v>
      </c>
      <c r="E6" s="29">
        <f>(C6)*D6/100</f>
        <v>2000</v>
      </c>
      <c r="F6" s="30"/>
      <c r="G6" s="153" t="s">
        <v>18</v>
      </c>
      <c r="H6" s="154"/>
      <c r="I6" s="155">
        <f>(P8-(C6*VLOOKUP(B20,P16:R28,3)/100)*1.2)</f>
        <v>-835.68863999999996</v>
      </c>
      <c r="J6" s="156"/>
      <c r="L6" s="157"/>
      <c r="M6" s="158"/>
      <c r="N6" s="159"/>
      <c r="O6" s="31">
        <f>C5*C14/100</f>
        <v>348</v>
      </c>
      <c r="P6" s="31">
        <f>M5+N5</f>
        <v>448.8</v>
      </c>
      <c r="Q6" s="163" t="s">
        <v>19</v>
      </c>
      <c r="R6" s="164"/>
    </row>
    <row r="7" spans="1:22" ht="21.95" customHeight="1" thickBot="1" x14ac:dyDescent="0.45">
      <c r="A7" s="117"/>
      <c r="B7" s="32"/>
      <c r="C7" s="33"/>
      <c r="D7" s="3"/>
      <c r="E7" s="34">
        <f>SUM(E5:E6)</f>
        <v>4400</v>
      </c>
      <c r="F7" s="35"/>
      <c r="G7" s="165" t="s">
        <v>63</v>
      </c>
      <c r="H7" s="166"/>
      <c r="I7" s="167">
        <f>I6-I5</f>
        <v>217.82736000000011</v>
      </c>
      <c r="J7" s="168"/>
      <c r="L7" s="160"/>
      <c r="M7" s="161"/>
      <c r="N7" s="162"/>
      <c r="O7" s="24">
        <f>O5+O6</f>
        <v>-402</v>
      </c>
      <c r="P7" s="24">
        <f>P5+P6+L5</f>
        <v>-107.37264</v>
      </c>
      <c r="Q7" s="169" t="s">
        <v>21</v>
      </c>
      <c r="R7" s="170"/>
    </row>
    <row r="8" spans="1:22" ht="12" customHeight="1" thickBot="1" x14ac:dyDescent="0.45">
      <c r="A8" s="117"/>
      <c r="B8" s="4"/>
      <c r="C8" s="4"/>
      <c r="D8" s="4"/>
      <c r="E8" s="36" t="s">
        <v>22</v>
      </c>
      <c r="F8" s="37"/>
      <c r="L8" s="38" t="s">
        <v>23</v>
      </c>
      <c r="M8" s="39"/>
      <c r="N8" s="40">
        <f>O19</f>
        <v>64.800000000000011</v>
      </c>
      <c r="O8" s="171">
        <f>O7</f>
        <v>-402</v>
      </c>
      <c r="P8" s="171">
        <f>P7-$N$8-$N$9</f>
        <v>-184.17264</v>
      </c>
      <c r="Q8" s="174" t="s">
        <v>24</v>
      </c>
      <c r="R8" s="175"/>
    </row>
    <row r="9" spans="1:22" ht="20.100000000000001" customHeight="1" thickBot="1" x14ac:dyDescent="0.45">
      <c r="A9" s="117"/>
      <c r="B9" s="41" t="s">
        <v>25</v>
      </c>
      <c r="E9" s="42"/>
      <c r="G9" s="105"/>
      <c r="H9" s="189"/>
      <c r="I9" s="189"/>
      <c r="J9" s="189"/>
      <c r="L9" s="43" t="s">
        <v>26</v>
      </c>
      <c r="M9" s="44"/>
      <c r="N9" s="45">
        <f>VLOOKUP(C16,L23:M28,2)*4*C17</f>
        <v>12</v>
      </c>
      <c r="O9" s="172"/>
      <c r="P9" s="173"/>
      <c r="Q9" s="176"/>
      <c r="R9" s="175"/>
    </row>
    <row r="10" spans="1:22" ht="29.1" customHeight="1" thickBot="1" x14ac:dyDescent="0.45">
      <c r="A10" s="117"/>
      <c r="B10" s="46"/>
      <c r="C10" s="46"/>
      <c r="D10" s="46"/>
      <c r="E10" s="46"/>
      <c r="F10" s="47"/>
      <c r="G10" s="178"/>
      <c r="H10" s="178"/>
      <c r="I10" s="178"/>
      <c r="J10" s="178"/>
      <c r="L10" s="8"/>
      <c r="M10" s="8"/>
      <c r="N10" s="8"/>
      <c r="O10" s="8"/>
      <c r="P10" s="106">
        <f>P8-O8</f>
        <v>217.82736</v>
      </c>
      <c r="Q10" s="179" t="s">
        <v>27</v>
      </c>
      <c r="R10" s="168"/>
      <c r="U10" s="108"/>
      <c r="V10" s="108"/>
    </row>
    <row r="11" spans="1:22" ht="29.1" hidden="1" customHeight="1" x14ac:dyDescent="0.4">
      <c r="A11" s="117"/>
      <c r="B11" s="6" t="s">
        <v>28</v>
      </c>
      <c r="Q11" s="49"/>
      <c r="R11" s="50"/>
      <c r="S11" s="51"/>
      <c r="U11" s="108"/>
      <c r="V11" s="108"/>
    </row>
    <row r="12" spans="1:22" ht="17.100000000000001" customHeight="1" thickBot="1" x14ac:dyDescent="0.45">
      <c r="A12" s="117"/>
      <c r="B12" s="52" t="s">
        <v>29</v>
      </c>
      <c r="C12" s="53" t="s">
        <v>12</v>
      </c>
      <c r="F12" s="54"/>
      <c r="G12" s="42"/>
      <c r="H12" s="42"/>
      <c r="I12" s="55"/>
      <c r="J12" s="56"/>
    </row>
    <row r="13" spans="1:22" ht="19.5" customHeight="1" thickBot="1" x14ac:dyDescent="0.45">
      <c r="A13" s="117"/>
      <c r="B13" s="5" t="s">
        <v>30</v>
      </c>
      <c r="C13" s="57">
        <v>15</v>
      </c>
      <c r="F13" s="58" t="s">
        <v>31</v>
      </c>
      <c r="G13" s="59"/>
      <c r="H13" s="60"/>
      <c r="I13" s="149" t="s">
        <v>32</v>
      </c>
      <c r="J13" s="150"/>
    </row>
    <row r="14" spans="1:22" ht="19.5" customHeight="1" thickBot="1" x14ac:dyDescent="0.45">
      <c r="A14" s="117"/>
      <c r="B14" s="61" t="s">
        <v>37</v>
      </c>
      <c r="C14" s="64">
        <v>5.8</v>
      </c>
      <c r="F14" s="130" t="s">
        <v>33</v>
      </c>
      <c r="G14" s="131"/>
      <c r="H14" s="131"/>
      <c r="I14" s="132"/>
      <c r="J14" s="133"/>
      <c r="L14" s="180" t="s">
        <v>34</v>
      </c>
      <c r="M14" s="181"/>
      <c r="N14" s="181"/>
      <c r="O14" s="182"/>
      <c r="P14" s="141" t="s">
        <v>35</v>
      </c>
      <c r="Q14" s="183"/>
      <c r="R14" s="63" t="s">
        <v>36</v>
      </c>
      <c r="U14" s="108"/>
      <c r="V14" s="108"/>
    </row>
    <row r="15" spans="1:22" ht="19.5" customHeight="1" thickBot="1" x14ac:dyDescent="0.45">
      <c r="A15" s="117"/>
      <c r="B15" s="61" t="s">
        <v>42</v>
      </c>
      <c r="C15" s="68">
        <v>10</v>
      </c>
      <c r="F15" s="134"/>
      <c r="G15" s="131"/>
      <c r="H15" s="131"/>
      <c r="I15" s="131"/>
      <c r="J15" s="135"/>
      <c r="L15" s="17" t="s">
        <v>38</v>
      </c>
      <c r="M15" s="65" t="s">
        <v>39</v>
      </c>
      <c r="N15" s="65" t="s">
        <v>12</v>
      </c>
      <c r="O15" s="66" t="s">
        <v>40</v>
      </c>
      <c r="P15" s="67" t="s">
        <v>41</v>
      </c>
      <c r="Q15" s="18" t="s">
        <v>12</v>
      </c>
      <c r="R15" s="18" t="s">
        <v>12</v>
      </c>
    </row>
    <row r="16" spans="1:22" ht="19.5" customHeight="1" thickBot="1" x14ac:dyDescent="0.45">
      <c r="A16" s="117"/>
      <c r="B16" s="61" t="s">
        <v>44</v>
      </c>
      <c r="C16" s="62">
        <v>100</v>
      </c>
      <c r="F16" s="134"/>
      <c r="G16" s="131"/>
      <c r="H16" s="131"/>
      <c r="I16" s="131"/>
      <c r="J16" s="135"/>
      <c r="L16" s="69">
        <v>1</v>
      </c>
      <c r="M16" s="70">
        <v>500</v>
      </c>
      <c r="N16" s="71">
        <v>2.4E-2</v>
      </c>
      <c r="O16" s="1">
        <f>IF(L16&lt;=$E$7,MIN($E$7-N(M15),M16-N(M15))*N16,0)</f>
        <v>12</v>
      </c>
      <c r="P16" s="72" t="s">
        <v>43</v>
      </c>
      <c r="Q16" s="109">
        <v>3.6954991999999987</v>
      </c>
      <c r="R16" s="112">
        <v>8.8036399999999979</v>
      </c>
      <c r="U16" s="108"/>
      <c r="V16" s="108"/>
    </row>
    <row r="17" spans="1:22" ht="19.5" customHeight="1" thickBot="1" x14ac:dyDescent="0.45">
      <c r="A17" s="117"/>
      <c r="B17" s="61" t="s">
        <v>46</v>
      </c>
      <c r="C17" s="79">
        <v>1</v>
      </c>
      <c r="D17" s="184"/>
      <c r="E17" s="185"/>
      <c r="F17" s="134"/>
      <c r="G17" s="131"/>
      <c r="H17" s="131"/>
      <c r="I17" s="131"/>
      <c r="J17" s="135"/>
      <c r="L17" s="74">
        <v>501</v>
      </c>
      <c r="M17" s="75">
        <v>1500</v>
      </c>
      <c r="N17" s="76">
        <v>1.7999999999999999E-2</v>
      </c>
      <c r="O17" s="2">
        <f>IF(L17&lt;=$E$7,MIN($E$7-N(M16),M17-N(M16))*N17,0)</f>
        <v>18</v>
      </c>
      <c r="P17" s="77" t="s">
        <v>49</v>
      </c>
      <c r="Q17" s="110">
        <v>5.2489728000000007</v>
      </c>
      <c r="R17" s="113">
        <v>11.921760000000001</v>
      </c>
      <c r="U17" s="108"/>
      <c r="V17" s="108"/>
    </row>
    <row r="18" spans="1:22" ht="19.5" customHeight="1" x14ac:dyDescent="0.4">
      <c r="A18" s="117"/>
      <c r="B18" s="81"/>
      <c r="C18" s="82"/>
      <c r="F18" s="134"/>
      <c r="G18" s="131"/>
      <c r="H18" s="131"/>
      <c r="I18" s="131"/>
      <c r="J18" s="135"/>
      <c r="L18" s="74">
        <v>1501</v>
      </c>
      <c r="M18" s="80">
        <v>1000000</v>
      </c>
      <c r="N18" s="76">
        <v>1.2E-2</v>
      </c>
      <c r="O18" s="2">
        <f>IF(L18&lt;=$E$7,MIN($E$7-N(M17),M18-N(M17))*N18,0)</f>
        <v>34.800000000000004</v>
      </c>
      <c r="P18" s="77" t="s">
        <v>51</v>
      </c>
      <c r="Q18" s="110">
        <v>4.4293716000000014</v>
      </c>
      <c r="R18" s="113">
        <v>9.3854700000000015</v>
      </c>
      <c r="U18" s="108"/>
      <c r="V18" s="108"/>
    </row>
    <row r="19" spans="1:22" ht="19.5" customHeight="1" thickBot="1" x14ac:dyDescent="0.45">
      <c r="A19" s="117"/>
      <c r="B19" s="85" t="s">
        <v>50</v>
      </c>
      <c r="C19" s="86"/>
      <c r="F19" s="134"/>
      <c r="G19" s="131"/>
      <c r="H19" s="131"/>
      <c r="I19" s="131"/>
      <c r="J19" s="135"/>
      <c r="L19" s="83"/>
      <c r="M19" s="84"/>
      <c r="N19" s="51" t="s">
        <v>48</v>
      </c>
      <c r="O19" s="51">
        <f>SUM(O16:O18)</f>
        <v>64.800000000000011</v>
      </c>
      <c r="P19" s="77" t="s">
        <v>57</v>
      </c>
      <c r="Q19" s="110">
        <v>4.4172075999999993</v>
      </c>
      <c r="R19" s="113">
        <v>9.9051699999999983</v>
      </c>
      <c r="U19" s="108"/>
      <c r="V19" s="108"/>
    </row>
    <row r="20" spans="1:22" ht="19.5" customHeight="1" thickBot="1" x14ac:dyDescent="0.45">
      <c r="A20" s="117"/>
      <c r="B20" s="107" t="s">
        <v>52</v>
      </c>
      <c r="C20" s="91">
        <f>VLOOKUP($B$20,$P$16:$Q$28,2)</f>
        <v>4.6913679999999998</v>
      </c>
      <c r="F20" s="134"/>
      <c r="G20" s="131"/>
      <c r="H20" s="131"/>
      <c r="I20" s="131"/>
      <c r="J20" s="135"/>
      <c r="L20" s="87"/>
      <c r="M20" s="88"/>
      <c r="N20" s="88"/>
      <c r="O20" s="89"/>
      <c r="P20" s="90" t="s">
        <v>58</v>
      </c>
      <c r="Q20" s="110">
        <v>3.9348287999999991</v>
      </c>
      <c r="R20" s="113">
        <v>8.1489599999999989</v>
      </c>
      <c r="U20" s="108"/>
      <c r="V20" s="108"/>
    </row>
    <row r="21" spans="1:22" ht="19.5" customHeight="1" thickBot="1" x14ac:dyDescent="0.45">
      <c r="A21" s="117"/>
      <c r="F21" s="136"/>
      <c r="G21" s="137"/>
      <c r="H21" s="137"/>
      <c r="I21" s="137"/>
      <c r="J21" s="138"/>
      <c r="L21" s="186" t="s">
        <v>53</v>
      </c>
      <c r="M21" s="187"/>
      <c r="N21" s="92"/>
      <c r="O21" s="89"/>
      <c r="P21" s="93" t="s">
        <v>54</v>
      </c>
      <c r="Q21" s="110">
        <v>3.4565951999999998</v>
      </c>
      <c r="R21" s="113">
        <v>7.2458399999999994</v>
      </c>
      <c r="U21" s="108"/>
      <c r="V21" s="108"/>
    </row>
    <row r="22" spans="1:22" ht="18" customHeight="1" thickBot="1" x14ac:dyDescent="0.45">
      <c r="A22" s="117"/>
      <c r="L22" s="94" t="s">
        <v>55</v>
      </c>
      <c r="M22" s="48" t="s">
        <v>56</v>
      </c>
      <c r="N22" s="88"/>
      <c r="O22" s="89"/>
      <c r="P22" s="93" t="s">
        <v>59</v>
      </c>
      <c r="Q22" s="110">
        <v>4.3373504000000001</v>
      </c>
      <c r="R22" s="113">
        <v>9.5556799999999988</v>
      </c>
      <c r="U22" s="108"/>
      <c r="V22" s="108"/>
    </row>
    <row r="23" spans="1:22" ht="18" customHeight="1" x14ac:dyDescent="0.4">
      <c r="A23" s="117"/>
      <c r="F23" s="188" t="s">
        <v>65</v>
      </c>
      <c r="G23" s="188"/>
      <c r="H23" s="188"/>
      <c r="I23" s="188"/>
      <c r="J23" s="188"/>
      <c r="L23" s="95">
        <v>10</v>
      </c>
      <c r="M23" s="96">
        <v>7.5</v>
      </c>
      <c r="N23" s="88"/>
      <c r="O23" s="89"/>
      <c r="P23" s="93" t="s">
        <v>52</v>
      </c>
      <c r="Q23" s="110">
        <v>4.6913679999999998</v>
      </c>
      <c r="R23" s="113">
        <v>10.858599999999999</v>
      </c>
      <c r="U23" s="108"/>
      <c r="V23" s="108"/>
    </row>
    <row r="24" spans="1:22" ht="18" customHeight="1" x14ac:dyDescent="0.4">
      <c r="A24" s="117"/>
      <c r="L24" s="95">
        <v>20</v>
      </c>
      <c r="M24" s="96">
        <v>6.5</v>
      </c>
      <c r="N24" s="88"/>
      <c r="O24" s="89"/>
      <c r="P24" s="93" t="s">
        <v>45</v>
      </c>
      <c r="Q24" s="110">
        <v>4.1385975999999998</v>
      </c>
      <c r="R24" s="113">
        <v>8.0744199999999999</v>
      </c>
      <c r="U24" s="108"/>
      <c r="V24" s="108"/>
    </row>
    <row r="25" spans="1:22" ht="18" customHeight="1" x14ac:dyDescent="0.4">
      <c r="A25" s="117"/>
      <c r="B25" s="8"/>
      <c r="L25" s="95">
        <v>30</v>
      </c>
      <c r="M25" s="96">
        <v>5</v>
      </c>
      <c r="N25" s="88"/>
      <c r="O25" s="89"/>
      <c r="P25" s="93" t="s">
        <v>66</v>
      </c>
      <c r="Q25" s="110">
        <v>4.0476599999999996</v>
      </c>
      <c r="R25" s="113">
        <v>8.1224999999999987</v>
      </c>
      <c r="U25" s="108"/>
      <c r="V25" s="108"/>
    </row>
    <row r="26" spans="1:22" ht="18" customHeight="1" x14ac:dyDescent="0.4">
      <c r="A26" s="117"/>
      <c r="L26" s="95">
        <v>40</v>
      </c>
      <c r="M26" s="96">
        <v>4</v>
      </c>
      <c r="N26" s="88"/>
      <c r="O26" s="89"/>
      <c r="P26" s="93" t="s">
        <v>47</v>
      </c>
      <c r="Q26" s="110">
        <v>4.6783060000000001</v>
      </c>
      <c r="R26" s="113">
        <v>10.27195</v>
      </c>
      <c r="U26" s="108"/>
      <c r="V26" s="108"/>
    </row>
    <row r="27" spans="1:22" ht="18" customHeight="1" x14ac:dyDescent="0.4">
      <c r="A27" s="117"/>
      <c r="L27" s="97">
        <v>50</v>
      </c>
      <c r="M27" s="98">
        <v>3.5</v>
      </c>
      <c r="N27" s="88"/>
      <c r="O27" s="89"/>
      <c r="P27" s="93" t="s">
        <v>60</v>
      </c>
      <c r="Q27" s="110">
        <v>3.7763720000000003</v>
      </c>
      <c r="R27" s="113">
        <v>7.8118999999999996</v>
      </c>
      <c r="U27" s="108"/>
      <c r="V27" s="108"/>
    </row>
    <row r="28" spans="1:22" ht="18" customHeight="1" thickBot="1" x14ac:dyDescent="0.45">
      <c r="A28" s="117"/>
      <c r="L28" s="99">
        <v>100</v>
      </c>
      <c r="M28" s="100">
        <v>3</v>
      </c>
      <c r="N28" s="101"/>
      <c r="O28" s="102"/>
      <c r="P28" s="103" t="s">
        <v>61</v>
      </c>
      <c r="Q28" s="111">
        <v>4.3174600000000005</v>
      </c>
      <c r="R28" s="114">
        <v>9.3354999999999997</v>
      </c>
      <c r="U28" s="108"/>
      <c r="V28" s="108"/>
    </row>
    <row r="30" spans="1:22" x14ac:dyDescent="0.4">
      <c r="L30" s="116" t="s">
        <v>67</v>
      </c>
    </row>
  </sheetData>
  <sheetProtection algorithmName="SHA-512" hashValue="1rJvZc9mzbBSx+vgaaTEif8Tcn5bjh+qLeColh/rQbVgk5Qpxkp8+mm3ZN3HgteNq9mU98ubLhqJU1GG9UOpAA==" saltValue="A9JrwgoWESyQ8si/zFtHnQ==" spinCount="100000" sheet="1" objects="1" scenarios="1"/>
  <mergeCells count="35">
    <mergeCell ref="Q10:R10"/>
    <mergeCell ref="I13:J13"/>
    <mergeCell ref="F14:J21"/>
    <mergeCell ref="L14:O14"/>
    <mergeCell ref="P14:Q14"/>
    <mergeCell ref="Q6:R6"/>
    <mergeCell ref="G7:H7"/>
    <mergeCell ref="I7:J7"/>
    <mergeCell ref="Q7:R7"/>
    <mergeCell ref="O8:O9"/>
    <mergeCell ref="P8:P9"/>
    <mergeCell ref="Q8:R9"/>
    <mergeCell ref="H9:J9"/>
    <mergeCell ref="Q5:R5"/>
    <mergeCell ref="L1:L2"/>
    <mergeCell ref="M1:M2"/>
    <mergeCell ref="N1:N2"/>
    <mergeCell ref="O1:O2"/>
    <mergeCell ref="P1:P2"/>
    <mergeCell ref="Q2:R2"/>
    <mergeCell ref="Q4:R4"/>
    <mergeCell ref="A2:A28"/>
    <mergeCell ref="B2:E2"/>
    <mergeCell ref="G6:H6"/>
    <mergeCell ref="I6:J6"/>
    <mergeCell ref="L6:N7"/>
    <mergeCell ref="G5:H5"/>
    <mergeCell ref="I5:J5"/>
    <mergeCell ref="C3:E3"/>
    <mergeCell ref="I3:J3"/>
    <mergeCell ref="I4:J4"/>
    <mergeCell ref="D17:E17"/>
    <mergeCell ref="L21:M21"/>
    <mergeCell ref="F23:J23"/>
    <mergeCell ref="G10:J10"/>
  </mergeCells>
  <conditionalFormatting sqref="G9:H9 P10:Q10">
    <cfRule type="cellIs" dxfId="41" priority="5" operator="lessThan">
      <formula>0</formula>
    </cfRule>
  </conditionalFormatting>
  <conditionalFormatting sqref="I7">
    <cfRule type="cellIs" dxfId="38" priority="10" operator="lessThan">
      <formula>0</formula>
    </cfRule>
  </conditionalFormatting>
  <conditionalFormatting sqref="L21">
    <cfRule type="cellIs" dxfId="37" priority="8" operator="lessThan">
      <formula>0</formula>
    </cfRule>
  </conditionalFormatting>
  <conditionalFormatting sqref="L22:M22">
    <cfRule type="cellIs" dxfId="36" priority="7" operator="lessThan">
      <formula>0</formula>
    </cfRule>
  </conditionalFormatting>
  <conditionalFormatting sqref="L5:P5 O6:P8">
    <cfRule type="cellIs" dxfId="35" priority="11" operator="greaterThan">
      <formula>0</formula>
    </cfRule>
    <cfRule type="cellIs" dxfId="34" priority="12" operator="lessThan">
      <formula>0</formula>
    </cfRule>
  </conditionalFormatting>
  <conditionalFormatting sqref="N19:O19">
    <cfRule type="cellIs" dxfId="33" priority="6" operator="lessThan">
      <formula>0</formula>
    </cfRule>
  </conditionalFormatting>
  <conditionalFormatting sqref="P16:P28">
    <cfRule type="cellIs" dxfId="32" priority="13" operator="equal">
      <formula>$B$20</formula>
    </cfRule>
    <cfRule type="cellIs" dxfId="31" priority="14" operator="equal">
      <formula>$B$20</formula>
    </cfRule>
  </conditionalFormatting>
  <conditionalFormatting sqref="S11">
    <cfRule type="cellIs" dxfId="30" priority="9" operator="lessThan">
      <formula>0</formula>
    </cfRule>
  </conditionalFormatting>
  <conditionalFormatting sqref="I5:I6">
    <cfRule type="cellIs" dxfId="5" priority="1" operator="greaterThan">
      <formula>0</formula>
    </cfRule>
    <cfRule type="cellIs" dxfId="4" priority="2" operator="lessThan">
      <formula>0</formula>
    </cfRule>
  </conditionalFormatting>
  <dataValidations disablePrompts="1" count="1">
    <dataValidation type="list" allowBlank="1" showInputMessage="1" showErrorMessage="1" sqref="B20" xr:uid="{9E0ED682-44F9-48FD-A963-282437ABA33B}">
      <formula1>$P$16:$P$28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GridLines="0" zoomScaleNormal="100" workbookViewId="0">
      <selection activeCell="B19" sqref="B19"/>
    </sheetView>
  </sheetViews>
  <sheetFormatPr baseColWidth="10" defaultColWidth="10.42578125" defaultRowHeight="16.5" outlineLevelCol="1" x14ac:dyDescent="0.4"/>
  <cols>
    <col min="1" max="1" width="3.42578125" style="6" customWidth="1"/>
    <col min="2" max="2" width="34.7109375" style="6" customWidth="1"/>
    <col min="3" max="3" width="9.85546875" style="6" bestFit="1" customWidth="1"/>
    <col min="4" max="4" width="11.7109375" style="6" bestFit="1" customWidth="1"/>
    <col min="5" max="5" width="14.42578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10" width="10.140625" style="6" customWidth="1"/>
    <col min="11" max="11" width="16.28515625" style="6" customWidth="1"/>
    <col min="12" max="12" width="16.28515625" style="6" hidden="1" customWidth="1" outlineLevel="1"/>
    <col min="13" max="13" width="16.140625" style="6" hidden="1" customWidth="1" outlineLevel="1"/>
    <col min="14" max="14" width="17.140625" style="6" hidden="1" customWidth="1" outlineLevel="1"/>
    <col min="15" max="17" width="21.85546875" style="6" hidden="1" customWidth="1" outlineLevel="1"/>
    <col min="18" max="18" width="22.140625" style="6" hidden="1" customWidth="1" outlineLevel="1"/>
    <col min="19" max="20" width="14.140625" style="6" hidden="1" customWidth="1" outlineLevel="1"/>
    <col min="21" max="21" width="10.42578125" style="6" collapsed="1"/>
    <col min="22" max="16384" width="10.42578125" style="6"/>
  </cols>
  <sheetData>
    <row r="1" spans="1:20" ht="68.099999999999994" customHeight="1" thickBot="1" x14ac:dyDescent="0.7">
      <c r="A1" s="117"/>
      <c r="B1" s="118" t="s">
        <v>0</v>
      </c>
      <c r="C1" s="119"/>
      <c r="D1" s="119"/>
      <c r="E1" s="119"/>
      <c r="I1" s="9"/>
      <c r="J1" s="9"/>
      <c r="L1" s="120" t="s">
        <v>1</v>
      </c>
      <c r="M1" s="122" t="s">
        <v>2</v>
      </c>
      <c r="N1" s="124" t="s">
        <v>3</v>
      </c>
      <c r="O1" s="147" t="s">
        <v>4</v>
      </c>
      <c r="P1" s="124" t="s">
        <v>5</v>
      </c>
      <c r="Q1" s="139"/>
      <c r="R1" s="139"/>
    </row>
    <row r="2" spans="1:20" ht="39.950000000000003" customHeight="1" thickBot="1" x14ac:dyDescent="0.45">
      <c r="A2" s="117"/>
      <c r="B2" s="11"/>
      <c r="C2" s="140" t="s">
        <v>6</v>
      </c>
      <c r="D2" s="141"/>
      <c r="E2" s="142"/>
      <c r="I2" s="143" t="s">
        <v>7</v>
      </c>
      <c r="J2" s="144"/>
      <c r="L2" s="121"/>
      <c r="M2" s="123"/>
      <c r="N2" s="125"/>
      <c r="O2" s="148"/>
      <c r="P2" s="125"/>
      <c r="Q2" s="10"/>
      <c r="R2" s="10"/>
    </row>
    <row r="3" spans="1:20" ht="33.75" thickBot="1" x14ac:dyDescent="0.45">
      <c r="A3" s="117"/>
      <c r="B3" s="12"/>
      <c r="C3" s="13" t="s">
        <v>8</v>
      </c>
      <c r="D3" s="14" t="s">
        <v>9</v>
      </c>
      <c r="E3" s="15" t="s">
        <v>10</v>
      </c>
      <c r="G3" s="16"/>
      <c r="H3" s="16"/>
      <c r="I3" s="145" t="s">
        <v>11</v>
      </c>
      <c r="J3" s="146"/>
      <c r="L3" s="17" t="s">
        <v>12</v>
      </c>
      <c r="M3" s="18" t="s">
        <v>13</v>
      </c>
      <c r="N3" s="19" t="s">
        <v>13</v>
      </c>
      <c r="O3" s="18" t="s">
        <v>13</v>
      </c>
      <c r="P3" s="18" t="s">
        <v>13</v>
      </c>
      <c r="Q3" s="139"/>
      <c r="R3" s="139"/>
    </row>
    <row r="4" spans="1:20" s="26" customFormat="1" ht="33" customHeight="1" thickBot="1" x14ac:dyDescent="0.45">
      <c r="A4" s="117"/>
      <c r="B4" s="20" t="s">
        <v>14</v>
      </c>
      <c r="C4" s="21">
        <v>6000</v>
      </c>
      <c r="D4" s="21">
        <v>40</v>
      </c>
      <c r="E4" s="22">
        <f>C4*D4/100</f>
        <v>2400</v>
      </c>
      <c r="F4" s="23"/>
      <c r="G4" s="126" t="s">
        <v>15</v>
      </c>
      <c r="H4" s="127"/>
      <c r="I4" s="128">
        <f>(O7-(C5*VLOOKUP(B19,P15:R27,3)/100)*1.2)</f>
        <v>-853.98</v>
      </c>
      <c r="J4" s="129"/>
      <c r="K4" s="6"/>
      <c r="L4" s="24">
        <f>(C19)*E5/100</f>
        <v>55.044000000000004</v>
      </c>
      <c r="M4" s="25">
        <f>(C4-E4)*C13/100</f>
        <v>208.8</v>
      </c>
      <c r="N4" s="25">
        <f>E4*C14/100</f>
        <v>240</v>
      </c>
      <c r="O4" s="24">
        <f>-C5*C12/100</f>
        <v>-750</v>
      </c>
      <c r="P4" s="24">
        <f>(-(C5-E5)*C12/100)-(E5*C14/100)</f>
        <v>-650</v>
      </c>
      <c r="Q4" s="151" t="s">
        <v>16</v>
      </c>
      <c r="R4" s="152"/>
    </row>
    <row r="5" spans="1:20" ht="33" customHeight="1" thickBot="1" x14ac:dyDescent="0.45">
      <c r="A5" s="117"/>
      <c r="B5" s="27" t="s">
        <v>17</v>
      </c>
      <c r="C5" s="28">
        <v>5000</v>
      </c>
      <c r="D5" s="21">
        <v>40</v>
      </c>
      <c r="E5" s="29">
        <f>(C5)*D5/100</f>
        <v>2000</v>
      </c>
      <c r="F5" s="30"/>
      <c r="G5" s="153" t="s">
        <v>18</v>
      </c>
      <c r="H5" s="154"/>
      <c r="I5" s="155">
        <f>(P7-(C5*VLOOKUP(B19,P15:R27,3)/100)*1.2)</f>
        <v>-674.93599999999992</v>
      </c>
      <c r="J5" s="156"/>
      <c r="L5" s="157"/>
      <c r="M5" s="158"/>
      <c r="N5" s="159"/>
      <c r="O5" s="31">
        <f>C4*C13/100</f>
        <v>348</v>
      </c>
      <c r="P5" s="31">
        <f>M4+N4</f>
        <v>448.8</v>
      </c>
      <c r="Q5" s="163" t="s">
        <v>19</v>
      </c>
      <c r="R5" s="164"/>
    </row>
    <row r="6" spans="1:20" ht="21.95" customHeight="1" thickBot="1" x14ac:dyDescent="0.45">
      <c r="A6" s="117"/>
      <c r="B6" s="32"/>
      <c r="C6" s="33"/>
      <c r="D6" s="3"/>
      <c r="E6" s="34">
        <f>SUM(E4:E5)</f>
        <v>4400</v>
      </c>
      <c r="F6" s="35"/>
      <c r="G6" s="165" t="s">
        <v>20</v>
      </c>
      <c r="H6" s="166"/>
      <c r="I6" s="167">
        <f>I5-I4</f>
        <v>179.0440000000001</v>
      </c>
      <c r="J6" s="168"/>
      <c r="L6" s="160"/>
      <c r="M6" s="161"/>
      <c r="N6" s="162"/>
      <c r="O6" s="24">
        <f>O4+O5</f>
        <v>-402</v>
      </c>
      <c r="P6" s="24">
        <f>P4+P5+L4</f>
        <v>-146.15599999999998</v>
      </c>
      <c r="Q6" s="169" t="s">
        <v>21</v>
      </c>
      <c r="R6" s="170"/>
    </row>
    <row r="7" spans="1:20" ht="12" customHeight="1" thickBot="1" x14ac:dyDescent="0.45">
      <c r="A7" s="117"/>
      <c r="B7" s="4"/>
      <c r="C7" s="4"/>
      <c r="D7" s="4"/>
      <c r="E7" s="36" t="s">
        <v>22</v>
      </c>
      <c r="F7" s="37"/>
      <c r="L7" s="38" t="s">
        <v>23</v>
      </c>
      <c r="M7" s="39"/>
      <c r="N7" s="40">
        <f>O18</f>
        <v>64.800000000000011</v>
      </c>
      <c r="O7" s="171">
        <f>O6</f>
        <v>-402</v>
      </c>
      <c r="P7" s="171">
        <f>P6-$N$7-$N$8</f>
        <v>-222.95599999999999</v>
      </c>
      <c r="Q7" s="174" t="s">
        <v>24</v>
      </c>
      <c r="R7" s="175"/>
    </row>
    <row r="8" spans="1:20" ht="20.100000000000001" customHeight="1" thickBot="1" x14ac:dyDescent="0.45">
      <c r="A8" s="117"/>
      <c r="B8" s="41" t="s">
        <v>25</v>
      </c>
      <c r="E8" s="42"/>
      <c r="F8" s="177" t="s">
        <v>64</v>
      </c>
      <c r="G8" s="177"/>
      <c r="H8" s="177"/>
      <c r="I8" s="177"/>
      <c r="J8" s="177"/>
      <c r="L8" s="43" t="s">
        <v>26</v>
      </c>
      <c r="M8" s="44"/>
      <c r="N8" s="45">
        <f>VLOOKUP(C15,L22:M27,2)*4*C16</f>
        <v>12</v>
      </c>
      <c r="O8" s="172"/>
      <c r="P8" s="173"/>
      <c r="Q8" s="176"/>
      <c r="R8" s="175"/>
    </row>
    <row r="9" spans="1:20" ht="29.1" customHeight="1" thickBot="1" x14ac:dyDescent="0.45">
      <c r="A9" s="117"/>
      <c r="B9" s="46"/>
      <c r="C9" s="46"/>
      <c r="D9" s="46"/>
      <c r="E9" s="46"/>
      <c r="F9" s="47"/>
      <c r="G9" s="178"/>
      <c r="H9" s="178"/>
      <c r="I9" s="178"/>
      <c r="J9" s="178"/>
      <c r="L9" s="8"/>
      <c r="M9" s="8"/>
      <c r="N9" s="8"/>
      <c r="O9" s="8"/>
      <c r="P9" s="106">
        <f>P7-O7</f>
        <v>179.04400000000001</v>
      </c>
      <c r="Q9" s="179" t="s">
        <v>27</v>
      </c>
      <c r="R9" s="168"/>
    </row>
    <row r="10" spans="1:20" ht="29.1" hidden="1" customHeight="1" thickBot="1" x14ac:dyDescent="0.45">
      <c r="A10" s="117"/>
      <c r="B10" s="6" t="s">
        <v>28</v>
      </c>
      <c r="Q10" s="49"/>
      <c r="R10" s="50"/>
      <c r="S10" s="51"/>
      <c r="T10" s="51"/>
    </row>
    <row r="11" spans="1:20" ht="17.100000000000001" customHeight="1" thickBot="1" x14ac:dyDescent="0.45">
      <c r="A11" s="117"/>
      <c r="B11" s="52" t="s">
        <v>29</v>
      </c>
      <c r="C11" s="53" t="s">
        <v>12</v>
      </c>
      <c r="F11" s="54"/>
      <c r="G11" s="42"/>
      <c r="H11" s="42"/>
      <c r="I11" s="55"/>
      <c r="J11" s="56"/>
    </row>
    <row r="12" spans="1:20" ht="19.5" customHeight="1" thickBot="1" x14ac:dyDescent="0.45">
      <c r="A12" s="117"/>
      <c r="B12" s="5" t="s">
        <v>30</v>
      </c>
      <c r="C12" s="57">
        <v>15</v>
      </c>
      <c r="F12" s="58" t="s">
        <v>31</v>
      </c>
      <c r="G12" s="59"/>
      <c r="H12" s="60"/>
      <c r="I12" s="149" t="s">
        <v>32</v>
      </c>
      <c r="J12" s="150"/>
    </row>
    <row r="13" spans="1:20" ht="19.5" customHeight="1" thickBot="1" x14ac:dyDescent="0.45">
      <c r="A13" s="117"/>
      <c r="B13" s="61" t="s">
        <v>37</v>
      </c>
      <c r="C13" s="64">
        <v>5.8</v>
      </c>
      <c r="F13" s="130" t="s">
        <v>33</v>
      </c>
      <c r="G13" s="131"/>
      <c r="H13" s="131"/>
      <c r="I13" s="132"/>
      <c r="J13" s="133"/>
      <c r="L13" s="180" t="s">
        <v>34</v>
      </c>
      <c r="M13" s="181"/>
      <c r="N13" s="181"/>
      <c r="O13" s="182"/>
      <c r="P13" s="141" t="s">
        <v>35</v>
      </c>
      <c r="Q13" s="183"/>
      <c r="R13" s="63" t="s">
        <v>36</v>
      </c>
    </row>
    <row r="14" spans="1:20" ht="19.5" customHeight="1" thickBot="1" x14ac:dyDescent="0.45">
      <c r="A14" s="117"/>
      <c r="B14" s="61" t="s">
        <v>42</v>
      </c>
      <c r="C14" s="68">
        <v>10</v>
      </c>
      <c r="F14" s="134"/>
      <c r="G14" s="131"/>
      <c r="H14" s="131"/>
      <c r="I14" s="131"/>
      <c r="J14" s="135"/>
      <c r="L14" s="17" t="s">
        <v>38</v>
      </c>
      <c r="M14" s="65" t="s">
        <v>39</v>
      </c>
      <c r="N14" s="65" t="s">
        <v>12</v>
      </c>
      <c r="O14" s="66" t="s">
        <v>40</v>
      </c>
      <c r="P14" s="67" t="s">
        <v>41</v>
      </c>
      <c r="Q14" s="18" t="s">
        <v>12</v>
      </c>
      <c r="R14" s="18" t="s">
        <v>12</v>
      </c>
    </row>
    <row r="15" spans="1:20" ht="19.5" customHeight="1" thickBot="1" x14ac:dyDescent="0.45">
      <c r="A15" s="117"/>
      <c r="B15" s="61" t="s">
        <v>44</v>
      </c>
      <c r="C15" s="62">
        <v>100</v>
      </c>
      <c r="F15" s="134"/>
      <c r="G15" s="131"/>
      <c r="H15" s="131"/>
      <c r="I15" s="131"/>
      <c r="J15" s="135"/>
      <c r="L15" s="69">
        <v>1</v>
      </c>
      <c r="M15" s="70">
        <v>500</v>
      </c>
      <c r="N15" s="71">
        <v>2.4E-2</v>
      </c>
      <c r="O15" s="1">
        <f>IF(L15&lt;=$E$6,MIN($E$6-N(M14),M15-N(M14))*N15,0)</f>
        <v>12</v>
      </c>
      <c r="P15" s="72" t="s">
        <v>43</v>
      </c>
      <c r="Q15" s="73">
        <v>1.9161999999999999</v>
      </c>
      <c r="R15" s="73">
        <v>6.0489999999999995</v>
      </c>
    </row>
    <row r="16" spans="1:20" ht="19.5" customHeight="1" thickBot="1" x14ac:dyDescent="0.45">
      <c r="A16" s="117"/>
      <c r="B16" s="61" t="s">
        <v>46</v>
      </c>
      <c r="C16" s="79">
        <v>1</v>
      </c>
      <c r="D16" s="184"/>
      <c r="E16" s="185"/>
      <c r="F16" s="134"/>
      <c r="G16" s="131"/>
      <c r="H16" s="131"/>
      <c r="I16" s="131"/>
      <c r="J16" s="135"/>
      <c r="L16" s="74">
        <v>501</v>
      </c>
      <c r="M16" s="75">
        <v>1500</v>
      </c>
      <c r="N16" s="76">
        <v>1.7999999999999999E-2</v>
      </c>
      <c r="O16" s="2">
        <f>IF(L16&lt;=$E$6,MIN($E$6-N(M15),M16-N(M15))*N16,0)</f>
        <v>18</v>
      </c>
      <c r="P16" s="77" t="s">
        <v>49</v>
      </c>
      <c r="Q16" s="78">
        <v>3.5164</v>
      </c>
      <c r="R16" s="78">
        <v>9.3339999999999996</v>
      </c>
    </row>
    <row r="17" spans="1:18" ht="19.5" customHeight="1" x14ac:dyDescent="0.4">
      <c r="A17" s="117"/>
      <c r="B17" s="81"/>
      <c r="C17" s="82"/>
      <c r="F17" s="134"/>
      <c r="G17" s="131"/>
      <c r="H17" s="131"/>
      <c r="I17" s="131"/>
      <c r="J17" s="135"/>
      <c r="L17" s="74">
        <v>1501</v>
      </c>
      <c r="M17" s="80">
        <v>1000000</v>
      </c>
      <c r="N17" s="76">
        <v>1.2E-2</v>
      </c>
      <c r="O17" s="2">
        <f>IF(L17&lt;=$E$6,MIN($E$6-N(M16),M17-N(M16))*N17,0)</f>
        <v>34.800000000000004</v>
      </c>
      <c r="P17" s="77" t="s">
        <v>51</v>
      </c>
      <c r="Q17" s="78">
        <v>2.6727999999999996</v>
      </c>
      <c r="R17" s="78">
        <v>6.7119999999999997</v>
      </c>
    </row>
    <row r="18" spans="1:18" ht="19.5" customHeight="1" thickBot="1" x14ac:dyDescent="0.45">
      <c r="A18" s="117"/>
      <c r="B18" s="85" t="s">
        <v>50</v>
      </c>
      <c r="C18" s="86"/>
      <c r="F18" s="134"/>
      <c r="G18" s="131"/>
      <c r="H18" s="131"/>
      <c r="I18" s="131"/>
      <c r="J18" s="135"/>
      <c r="L18" s="83"/>
      <c r="M18" s="84"/>
      <c r="N18" s="51" t="s">
        <v>48</v>
      </c>
      <c r="O18" s="51">
        <f>SUM(O15:O17)</f>
        <v>64.800000000000011</v>
      </c>
      <c r="P18" s="77" t="s">
        <v>57</v>
      </c>
      <c r="Q18" s="78">
        <v>2.4985999999999997</v>
      </c>
      <c r="R18" s="78">
        <v>6.6529999999999996</v>
      </c>
    </row>
    <row r="19" spans="1:18" ht="19.5" customHeight="1" thickBot="1" x14ac:dyDescent="0.45">
      <c r="A19" s="117"/>
      <c r="B19" s="107" t="s">
        <v>52</v>
      </c>
      <c r="C19" s="91">
        <f>VLOOKUP($B$19,$P$15:$Q$27,2)</f>
        <v>2.7522000000000002</v>
      </c>
      <c r="F19" s="134"/>
      <c r="G19" s="131"/>
      <c r="H19" s="131"/>
      <c r="I19" s="131"/>
      <c r="J19" s="135"/>
      <c r="L19" s="87"/>
      <c r="M19" s="88"/>
      <c r="N19" s="88"/>
      <c r="O19" s="89"/>
      <c r="P19" s="90" t="s">
        <v>58</v>
      </c>
      <c r="Q19" s="78">
        <v>2.2008000000000001</v>
      </c>
      <c r="R19" s="78">
        <v>5.556</v>
      </c>
    </row>
    <row r="20" spans="1:18" ht="19.5" customHeight="1" thickBot="1" x14ac:dyDescent="0.45">
      <c r="A20" s="117"/>
      <c r="F20" s="136"/>
      <c r="G20" s="137"/>
      <c r="H20" s="137"/>
      <c r="I20" s="137"/>
      <c r="J20" s="138"/>
      <c r="L20" s="186" t="s">
        <v>53</v>
      </c>
      <c r="M20" s="187"/>
      <c r="N20" s="92"/>
      <c r="O20" s="89"/>
      <c r="P20" s="93" t="s">
        <v>54</v>
      </c>
      <c r="Q20" s="78">
        <v>1.8233999999999995</v>
      </c>
      <c r="R20" s="78">
        <v>5.012999999999999</v>
      </c>
    </row>
    <row r="21" spans="1:18" ht="18" customHeight="1" thickBot="1" x14ac:dyDescent="0.45">
      <c r="A21" s="117"/>
      <c r="L21" s="94" t="s">
        <v>55</v>
      </c>
      <c r="M21" s="48" t="s">
        <v>56</v>
      </c>
      <c r="N21" s="88"/>
      <c r="O21" s="89"/>
      <c r="P21" s="93" t="s">
        <v>59</v>
      </c>
      <c r="Q21" s="78">
        <v>2.6943999999999999</v>
      </c>
      <c r="R21" s="78">
        <v>7.2879999999999994</v>
      </c>
    </row>
    <row r="22" spans="1:18" ht="18" customHeight="1" x14ac:dyDescent="0.4">
      <c r="A22" s="117"/>
      <c r="F22" s="188" t="str">
        <f>Details2024!F23</f>
        <v>Rev.12  11_2024</v>
      </c>
      <c r="G22" s="188"/>
      <c r="H22" s="188"/>
      <c r="I22" s="188"/>
      <c r="J22" s="188"/>
      <c r="L22" s="95">
        <v>10</v>
      </c>
      <c r="M22" s="96">
        <v>7.5</v>
      </c>
      <c r="N22" s="88"/>
      <c r="O22" s="89"/>
      <c r="P22" s="93" t="s">
        <v>52</v>
      </c>
      <c r="Q22" s="78">
        <v>2.7522000000000002</v>
      </c>
      <c r="R22" s="78">
        <v>7.5329999999999995</v>
      </c>
    </row>
    <row r="23" spans="1:18" ht="18" customHeight="1" x14ac:dyDescent="0.4">
      <c r="A23" s="117"/>
      <c r="L23" s="95">
        <v>20</v>
      </c>
      <c r="M23" s="96">
        <v>6.5</v>
      </c>
      <c r="N23" s="88"/>
      <c r="O23" s="89"/>
      <c r="P23" s="93" t="s">
        <v>45</v>
      </c>
      <c r="Q23" s="78">
        <v>2.8124000000000002</v>
      </c>
      <c r="R23" s="78">
        <v>6.9380000000000006</v>
      </c>
    </row>
    <row r="24" spans="1:18" ht="18" customHeight="1" x14ac:dyDescent="0.4">
      <c r="A24" s="117"/>
      <c r="B24" s="8"/>
      <c r="L24" s="95">
        <v>30</v>
      </c>
      <c r="M24" s="96">
        <v>5</v>
      </c>
      <c r="N24" s="88"/>
      <c r="O24" s="89"/>
      <c r="P24" s="93" t="s">
        <v>66</v>
      </c>
      <c r="Q24" s="78">
        <v>2.5329999999999999</v>
      </c>
      <c r="R24" s="78">
        <v>6.3129999999999997</v>
      </c>
    </row>
    <row r="25" spans="1:18" ht="18" customHeight="1" x14ac:dyDescent="0.4">
      <c r="A25" s="117"/>
      <c r="L25" s="95">
        <v>40</v>
      </c>
      <c r="M25" s="96">
        <v>4</v>
      </c>
      <c r="N25" s="88"/>
      <c r="O25" s="89"/>
      <c r="P25" s="93" t="s">
        <v>47</v>
      </c>
      <c r="Q25" s="78">
        <v>3.2169999999999987</v>
      </c>
      <c r="R25" s="78">
        <v>8.6529999999999987</v>
      </c>
    </row>
    <row r="26" spans="1:18" ht="18" customHeight="1" x14ac:dyDescent="0.4">
      <c r="A26" s="117"/>
      <c r="L26" s="97">
        <v>50</v>
      </c>
      <c r="M26" s="98">
        <v>3.5</v>
      </c>
      <c r="N26" s="88"/>
      <c r="O26" s="89"/>
      <c r="P26" s="93" t="s">
        <v>60</v>
      </c>
      <c r="Q26" s="78">
        <v>2.1257999999999995</v>
      </c>
      <c r="R26" s="78">
        <v>5.5169999999999995</v>
      </c>
    </row>
    <row r="27" spans="1:18" ht="18" customHeight="1" thickBot="1" x14ac:dyDescent="0.45">
      <c r="A27" s="117"/>
      <c r="L27" s="99">
        <v>100</v>
      </c>
      <c r="M27" s="100">
        <v>3</v>
      </c>
      <c r="N27" s="101"/>
      <c r="O27" s="102"/>
      <c r="P27" s="103" t="s">
        <v>61</v>
      </c>
      <c r="Q27" s="104">
        <v>2.4499999999999993</v>
      </c>
      <c r="R27" s="104">
        <v>6.2659999999999991</v>
      </c>
    </row>
  </sheetData>
  <sheetProtection algorithmName="SHA-512" hashValue="aImR77o7w9jYgjX8xkE2WeaPrThoMElfl95eqjYw3yX9RxsmvbY1cHGGLrht2GM2AJdAFEQ+o5oavrMS0BCA/g==" saltValue="BuFVWl9jIuBlbcVbgJ+ovA==" spinCount="100000" sheet="1" selectLockedCells="1"/>
  <mergeCells count="35">
    <mergeCell ref="F8:J8"/>
    <mergeCell ref="A1:A27"/>
    <mergeCell ref="I12:J12"/>
    <mergeCell ref="B1:E1"/>
    <mergeCell ref="G9:J9"/>
    <mergeCell ref="C2:E2"/>
    <mergeCell ref="I2:J2"/>
    <mergeCell ref="F13:J20"/>
    <mergeCell ref="G4:H4"/>
    <mergeCell ref="G5:H5"/>
    <mergeCell ref="G6:H6"/>
    <mergeCell ref="I3:J3"/>
    <mergeCell ref="I4:J4"/>
    <mergeCell ref="D16:E16"/>
    <mergeCell ref="F22:J22"/>
    <mergeCell ref="I5:J5"/>
    <mergeCell ref="L20:M20"/>
    <mergeCell ref="O7:O8"/>
    <mergeCell ref="P13:Q13"/>
    <mergeCell ref="L5:N6"/>
    <mergeCell ref="P7:P8"/>
    <mergeCell ref="L13:O13"/>
    <mergeCell ref="Q7:R8"/>
    <mergeCell ref="Q9:R9"/>
    <mergeCell ref="Q5:R5"/>
    <mergeCell ref="N1:N2"/>
    <mergeCell ref="O1:O2"/>
    <mergeCell ref="P1:P2"/>
    <mergeCell ref="I6:J6"/>
    <mergeCell ref="Q6:R6"/>
    <mergeCell ref="Q1:R1"/>
    <mergeCell ref="Q3:R3"/>
    <mergeCell ref="Q4:R4"/>
    <mergeCell ref="L1:L2"/>
    <mergeCell ref="M1:M2"/>
  </mergeCells>
  <conditionalFormatting sqref="F8 P9:Q9">
    <cfRule type="cellIs" dxfId="29" priority="3" operator="lessThan">
      <formula>0</formula>
    </cfRule>
  </conditionalFormatting>
  <conditionalFormatting sqref="I6">
    <cfRule type="cellIs" dxfId="28" priority="8" operator="lessThan">
      <formula>0</formula>
    </cfRule>
  </conditionalFormatting>
  <conditionalFormatting sqref="L20">
    <cfRule type="cellIs" dxfId="27" priority="6" operator="lessThan">
      <formula>0</formula>
    </cfRule>
  </conditionalFormatting>
  <conditionalFormatting sqref="L21:M21">
    <cfRule type="cellIs" dxfId="26" priority="5" operator="lessThan">
      <formula>0</formula>
    </cfRule>
  </conditionalFormatting>
  <conditionalFormatting sqref="L4:P4 O5:P7">
    <cfRule type="cellIs" dxfId="25" priority="9" operator="greaterThan">
      <formula>0</formula>
    </cfRule>
    <cfRule type="cellIs" dxfId="24" priority="10" operator="lessThan">
      <formula>0</formula>
    </cfRule>
  </conditionalFormatting>
  <conditionalFormatting sqref="N18:O18">
    <cfRule type="cellIs" dxfId="23" priority="4" operator="lessThan">
      <formula>0</formula>
    </cfRule>
  </conditionalFormatting>
  <conditionalFormatting sqref="P15:P27">
    <cfRule type="cellIs" dxfId="22" priority="11" operator="equal">
      <formula>$B$19</formula>
    </cfRule>
    <cfRule type="cellIs" dxfId="21" priority="12" operator="equal">
      <formula>$B$19</formula>
    </cfRule>
  </conditionalFormatting>
  <conditionalFormatting sqref="S10:T10">
    <cfRule type="cellIs" dxfId="20" priority="7" operator="lessThan">
      <formula>0</formula>
    </cfRule>
  </conditionalFormatting>
  <conditionalFormatting sqref="I4:I5">
    <cfRule type="cellIs" dxfId="7" priority="1" operator="greaterThan">
      <formula>0</formula>
    </cfRule>
    <cfRule type="cellIs" dxfId="6" priority="2" operator="lessThan">
      <formula>0</formula>
    </cfRule>
  </conditionalFormatting>
  <dataValidations count="1">
    <dataValidation type="list" allowBlank="1" showInputMessage="1" showErrorMessage="1" sqref="B19" xr:uid="{00000000-0002-0000-0000-000000000000}">
      <formula1>$P$15:$P$27</formula1>
    </dataValidation>
  </dataValidations>
  <hyperlinks>
    <hyperlink ref="F8:J8" r:id="rId1" display="Video Anleitung Bedienung Kalkulator" xr:uid="{641F4B82-9E95-4324-BAF7-56CAAB5637DD}"/>
  </hyperlinks>
  <pageMargins left="0.7" right="0.7" top="0.78740157499999996" bottom="0.78740157499999996" header="0.3" footer="0.3"/>
  <pageSetup paperSize="9" orientation="landscape" horizontalDpi="360" verticalDpi="36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showGridLines="0" tabSelected="1" zoomScaleNormal="100" workbookViewId="0">
      <selection activeCell="D7" sqref="D7"/>
    </sheetView>
  </sheetViews>
  <sheetFormatPr baseColWidth="10" defaultColWidth="10.42578125" defaultRowHeight="16.5" outlineLevelCol="1" x14ac:dyDescent="0.4"/>
  <cols>
    <col min="1" max="1" width="3.42578125" style="6" customWidth="1"/>
    <col min="2" max="2" width="34.7109375" style="6" customWidth="1"/>
    <col min="3" max="3" width="9.85546875" style="6" bestFit="1" customWidth="1"/>
    <col min="4" max="4" width="11.7109375" style="6" bestFit="1" customWidth="1"/>
    <col min="5" max="5" width="16.5703125" style="6" customWidth="1"/>
    <col min="6" max="6" width="9.42578125" style="6" customWidth="1"/>
    <col min="7" max="7" width="13.28515625" style="6" bestFit="1" customWidth="1"/>
    <col min="8" max="8" width="14.5703125" style="6" bestFit="1" customWidth="1"/>
    <col min="9" max="9" width="10.140625" style="6" customWidth="1"/>
    <col min="10" max="10" width="11.140625" style="6" customWidth="1"/>
    <col min="11" max="11" width="16.28515625" style="6" customWidth="1"/>
    <col min="12" max="12" width="16.28515625" style="6" customWidth="1" outlineLevel="1"/>
    <col min="13" max="13" width="16.140625" style="6" bestFit="1" customWidth="1" outlineLevel="1"/>
    <col min="14" max="14" width="17.140625" style="6" customWidth="1" outlineLevel="1"/>
    <col min="15" max="17" width="21.85546875" style="6" customWidth="1" outlineLevel="1"/>
    <col min="18" max="18" width="22.140625" style="6" bestFit="1" customWidth="1" outlineLevel="1"/>
    <col min="19" max="20" width="14.140625" style="6" customWidth="1" outlineLevel="1"/>
    <col min="21" max="16384" width="10.42578125" style="6"/>
  </cols>
  <sheetData>
    <row r="1" spans="1:22" ht="36.75" customHeight="1" x14ac:dyDescent="0.4">
      <c r="L1" s="120" t="s">
        <v>1</v>
      </c>
      <c r="M1" s="122" t="s">
        <v>2</v>
      </c>
      <c r="N1" s="124" t="s">
        <v>3</v>
      </c>
      <c r="O1" s="147" t="s">
        <v>4</v>
      </c>
      <c r="P1" s="124" t="s">
        <v>5</v>
      </c>
    </row>
    <row r="2" spans="1:22" ht="68.099999999999994" customHeight="1" thickBot="1" x14ac:dyDescent="0.7">
      <c r="A2" s="117"/>
      <c r="B2" s="118" t="s">
        <v>0</v>
      </c>
      <c r="C2" s="119"/>
      <c r="D2" s="119"/>
      <c r="E2" s="119"/>
      <c r="I2" s="9"/>
      <c r="J2" s="9"/>
      <c r="L2" s="121"/>
      <c r="M2" s="123"/>
      <c r="N2" s="125"/>
      <c r="O2" s="148"/>
      <c r="P2" s="125"/>
      <c r="Q2" s="139"/>
      <c r="R2" s="139"/>
    </row>
    <row r="3" spans="1:22" ht="39.950000000000003" customHeight="1" thickBot="1" x14ac:dyDescent="0.45">
      <c r="A3" s="117"/>
      <c r="B3" s="11"/>
      <c r="C3" s="140" t="s">
        <v>6</v>
      </c>
      <c r="D3" s="141"/>
      <c r="E3" s="142"/>
      <c r="I3" s="143" t="s">
        <v>7</v>
      </c>
      <c r="J3" s="144"/>
      <c r="L3" s="7"/>
      <c r="M3" s="7"/>
      <c r="N3" s="7"/>
      <c r="O3" s="7" t="s">
        <v>62</v>
      </c>
      <c r="P3" s="7" t="s">
        <v>62</v>
      </c>
      <c r="Q3" s="10"/>
      <c r="R3" s="10"/>
    </row>
    <row r="4" spans="1:22" ht="33.75" thickBot="1" x14ac:dyDescent="0.45">
      <c r="A4" s="117"/>
      <c r="B4" s="12"/>
      <c r="C4" s="13" t="s">
        <v>8</v>
      </c>
      <c r="D4" s="14" t="s">
        <v>9</v>
      </c>
      <c r="E4" s="15" t="s">
        <v>10</v>
      </c>
      <c r="G4" s="16"/>
      <c r="H4" s="16"/>
      <c r="I4" s="145" t="s">
        <v>11</v>
      </c>
      <c r="J4" s="146"/>
      <c r="L4" s="17" t="s">
        <v>12</v>
      </c>
      <c r="M4" s="18" t="s">
        <v>13</v>
      </c>
      <c r="N4" s="19" t="s">
        <v>13</v>
      </c>
      <c r="O4" s="18" t="s">
        <v>13</v>
      </c>
      <c r="P4" s="18" t="s">
        <v>13</v>
      </c>
      <c r="Q4" s="139"/>
      <c r="R4" s="139"/>
    </row>
    <row r="5" spans="1:22" s="26" customFormat="1" ht="33" customHeight="1" thickBot="1" x14ac:dyDescent="0.45">
      <c r="A5" s="117"/>
      <c r="B5" s="20" t="s">
        <v>14</v>
      </c>
      <c r="C5" s="21">
        <v>6000</v>
      </c>
      <c r="D5" s="21">
        <v>40</v>
      </c>
      <c r="E5" s="22">
        <f>C5*D5/100</f>
        <v>2400</v>
      </c>
      <c r="F5" s="23"/>
      <c r="G5" s="126" t="s">
        <v>15</v>
      </c>
      <c r="H5" s="127"/>
      <c r="I5" s="128">
        <f>(O8-(C6*VLOOKUP(B20,P16:R28,3)/100)*1.2)</f>
        <v>-853.98</v>
      </c>
      <c r="J5" s="129"/>
      <c r="K5" s="6"/>
      <c r="L5" s="24">
        <f>(C20)*E6/100</f>
        <v>55.044000000000004</v>
      </c>
      <c r="M5" s="25">
        <f>(C5-E5)*C14/100</f>
        <v>208.8</v>
      </c>
      <c r="N5" s="25">
        <f>E5*C15/100</f>
        <v>240</v>
      </c>
      <c r="O5" s="24">
        <f>C6*-C13/100</f>
        <v>-750</v>
      </c>
      <c r="P5" s="24">
        <f>((C6-E6)*-C13/100)-(E6*C15/100)</f>
        <v>-650</v>
      </c>
      <c r="Q5" s="151" t="s">
        <v>40</v>
      </c>
      <c r="R5" s="152"/>
    </row>
    <row r="6" spans="1:22" ht="33" customHeight="1" thickBot="1" x14ac:dyDescent="0.45">
      <c r="A6" s="117"/>
      <c r="B6" s="27" t="s">
        <v>17</v>
      </c>
      <c r="C6" s="28">
        <v>5000</v>
      </c>
      <c r="D6" s="21">
        <v>40</v>
      </c>
      <c r="E6" s="29">
        <f>(C6)*D6/100</f>
        <v>2000</v>
      </c>
      <c r="F6" s="30"/>
      <c r="G6" s="153" t="s">
        <v>18</v>
      </c>
      <c r="H6" s="154"/>
      <c r="I6" s="155">
        <f>(P8-(C6*VLOOKUP(B20,P16:R28,3)/100)*1.2)</f>
        <v>-674.93599999999992</v>
      </c>
      <c r="J6" s="156"/>
      <c r="L6" s="157"/>
      <c r="M6" s="158"/>
      <c r="N6" s="159"/>
      <c r="O6" s="31">
        <f>C5*C14/100</f>
        <v>348</v>
      </c>
      <c r="P6" s="31">
        <f>M5+N5</f>
        <v>448.8</v>
      </c>
      <c r="Q6" s="163" t="s">
        <v>19</v>
      </c>
      <c r="R6" s="164"/>
    </row>
    <row r="7" spans="1:22" ht="21.95" customHeight="1" thickBot="1" x14ac:dyDescent="0.45">
      <c r="A7" s="117"/>
      <c r="B7" s="32"/>
      <c r="C7" s="33"/>
      <c r="D7" s="3"/>
      <c r="E7" s="34">
        <f>SUM(E5:E6)</f>
        <v>4400</v>
      </c>
      <c r="F7" s="35"/>
      <c r="G7" s="165" t="s">
        <v>63</v>
      </c>
      <c r="H7" s="166"/>
      <c r="I7" s="167">
        <f>I6-I5</f>
        <v>179.0440000000001</v>
      </c>
      <c r="J7" s="168"/>
      <c r="L7" s="160"/>
      <c r="M7" s="161"/>
      <c r="N7" s="162"/>
      <c r="O7" s="24">
        <f>O5+O6</f>
        <v>-402</v>
      </c>
      <c r="P7" s="24">
        <f>P5+P6+L5</f>
        <v>-146.15599999999998</v>
      </c>
      <c r="Q7" s="169" t="s">
        <v>21</v>
      </c>
      <c r="R7" s="170"/>
    </row>
    <row r="8" spans="1:22" ht="12" customHeight="1" thickBot="1" x14ac:dyDescent="0.45">
      <c r="A8" s="117"/>
      <c r="B8" s="4"/>
      <c r="C8" s="4"/>
      <c r="D8" s="4"/>
      <c r="E8" s="36" t="s">
        <v>22</v>
      </c>
      <c r="F8" s="37"/>
      <c r="L8" s="38" t="s">
        <v>23</v>
      </c>
      <c r="M8" s="39"/>
      <c r="N8" s="40">
        <f>O19</f>
        <v>64.800000000000011</v>
      </c>
      <c r="O8" s="171">
        <f>O7</f>
        <v>-402</v>
      </c>
      <c r="P8" s="171">
        <f>P7-$N$8-$N$9</f>
        <v>-222.95599999999999</v>
      </c>
      <c r="Q8" s="174" t="s">
        <v>24</v>
      </c>
      <c r="R8" s="175"/>
    </row>
    <row r="9" spans="1:22" ht="20.100000000000001" customHeight="1" thickBot="1" x14ac:dyDescent="0.45">
      <c r="A9" s="117"/>
      <c r="B9" s="41" t="s">
        <v>25</v>
      </c>
      <c r="E9" s="42"/>
      <c r="G9" s="105"/>
      <c r="H9" s="189"/>
      <c r="I9" s="189"/>
      <c r="J9" s="189"/>
      <c r="L9" s="43" t="s">
        <v>26</v>
      </c>
      <c r="M9" s="44"/>
      <c r="N9" s="45">
        <f>VLOOKUP(C16,L23:M28,2)*4*C17</f>
        <v>12</v>
      </c>
      <c r="O9" s="172"/>
      <c r="P9" s="173"/>
      <c r="Q9" s="176"/>
      <c r="R9" s="175"/>
    </row>
    <row r="10" spans="1:22" ht="29.1" customHeight="1" thickBot="1" x14ac:dyDescent="0.45">
      <c r="A10" s="117"/>
      <c r="B10" s="46"/>
      <c r="C10" s="46"/>
      <c r="D10" s="46"/>
      <c r="E10" s="46"/>
      <c r="F10" s="47"/>
      <c r="G10" s="178"/>
      <c r="H10" s="178"/>
      <c r="I10" s="178"/>
      <c r="J10" s="178"/>
      <c r="L10" s="8"/>
      <c r="M10" s="8"/>
      <c r="N10" s="8"/>
      <c r="O10" s="8"/>
      <c r="P10" s="106">
        <f>P8-O8</f>
        <v>179.04400000000001</v>
      </c>
      <c r="Q10" s="179" t="s">
        <v>27</v>
      </c>
      <c r="R10" s="168"/>
      <c r="U10" s="108"/>
      <c r="V10" s="108"/>
    </row>
    <row r="11" spans="1:22" ht="29.1" hidden="1" customHeight="1" x14ac:dyDescent="0.4">
      <c r="A11" s="117"/>
      <c r="B11" s="6" t="s">
        <v>28</v>
      </c>
      <c r="Q11" s="49"/>
      <c r="R11" s="50"/>
      <c r="S11" s="51"/>
      <c r="U11" s="108"/>
      <c r="V11" s="108"/>
    </row>
    <row r="12" spans="1:22" ht="17.100000000000001" customHeight="1" thickBot="1" x14ac:dyDescent="0.45">
      <c r="A12" s="117"/>
      <c r="B12" s="52" t="s">
        <v>29</v>
      </c>
      <c r="C12" s="53" t="s">
        <v>12</v>
      </c>
      <c r="F12" s="54"/>
      <c r="G12" s="42"/>
      <c r="H12" s="42"/>
      <c r="I12" s="55"/>
      <c r="J12" s="56"/>
    </row>
    <row r="13" spans="1:22" ht="19.5" customHeight="1" thickBot="1" x14ac:dyDescent="0.45">
      <c r="A13" s="117"/>
      <c r="B13" s="5" t="s">
        <v>30</v>
      </c>
      <c r="C13" s="57">
        <v>15</v>
      </c>
      <c r="F13" s="58" t="s">
        <v>31</v>
      </c>
      <c r="G13" s="59"/>
      <c r="H13" s="60"/>
      <c r="I13" s="149" t="s">
        <v>32</v>
      </c>
      <c r="J13" s="150"/>
    </row>
    <row r="14" spans="1:22" ht="19.5" customHeight="1" thickBot="1" x14ac:dyDescent="0.45">
      <c r="A14" s="117"/>
      <c r="B14" s="61" t="s">
        <v>37</v>
      </c>
      <c r="C14" s="64">
        <v>5.8</v>
      </c>
      <c r="F14" s="130" t="s">
        <v>33</v>
      </c>
      <c r="G14" s="131"/>
      <c r="H14" s="131"/>
      <c r="I14" s="132"/>
      <c r="J14" s="133"/>
      <c r="L14" s="180" t="s">
        <v>34</v>
      </c>
      <c r="M14" s="181"/>
      <c r="N14" s="181"/>
      <c r="O14" s="182"/>
      <c r="P14" s="141" t="s">
        <v>35</v>
      </c>
      <c r="Q14" s="183"/>
      <c r="R14" s="63" t="s">
        <v>36</v>
      </c>
      <c r="U14" s="108"/>
      <c r="V14" s="108"/>
    </row>
    <row r="15" spans="1:22" ht="19.5" customHeight="1" thickBot="1" x14ac:dyDescent="0.45">
      <c r="A15" s="117"/>
      <c r="B15" s="61" t="s">
        <v>42</v>
      </c>
      <c r="C15" s="68">
        <v>10</v>
      </c>
      <c r="F15" s="134"/>
      <c r="G15" s="131"/>
      <c r="H15" s="131"/>
      <c r="I15" s="131"/>
      <c r="J15" s="135"/>
      <c r="L15" s="17" t="s">
        <v>38</v>
      </c>
      <c r="M15" s="65" t="s">
        <v>39</v>
      </c>
      <c r="N15" s="65" t="s">
        <v>12</v>
      </c>
      <c r="O15" s="66" t="s">
        <v>40</v>
      </c>
      <c r="P15" s="67" t="s">
        <v>41</v>
      </c>
      <c r="Q15" s="18" t="s">
        <v>12</v>
      </c>
      <c r="R15" s="18" t="s">
        <v>12</v>
      </c>
    </row>
    <row r="16" spans="1:22" ht="19.5" customHeight="1" thickBot="1" x14ac:dyDescent="0.45">
      <c r="A16" s="117"/>
      <c r="B16" s="61" t="s">
        <v>44</v>
      </c>
      <c r="C16" s="62">
        <v>100</v>
      </c>
      <c r="F16" s="134"/>
      <c r="G16" s="131"/>
      <c r="H16" s="131"/>
      <c r="I16" s="131"/>
      <c r="J16" s="135"/>
      <c r="L16" s="69">
        <v>1</v>
      </c>
      <c r="M16" s="70">
        <v>500</v>
      </c>
      <c r="N16" s="71">
        <v>2.4E-2</v>
      </c>
      <c r="O16" s="1">
        <f>IF(L16&lt;=$E$7,MIN($E$7-N(M15),M16-N(M15))*N16,0)</f>
        <v>12</v>
      </c>
      <c r="P16" s="72" t="s">
        <v>43</v>
      </c>
      <c r="Q16" s="109">
        <v>1.9161999999999999</v>
      </c>
      <c r="R16" s="112">
        <v>6.0489999999999995</v>
      </c>
      <c r="U16" s="108"/>
      <c r="V16" s="108"/>
    </row>
    <row r="17" spans="1:22" ht="19.5" customHeight="1" thickBot="1" x14ac:dyDescent="0.45">
      <c r="A17" s="117"/>
      <c r="B17" s="61" t="s">
        <v>46</v>
      </c>
      <c r="C17" s="79">
        <v>1</v>
      </c>
      <c r="D17" s="184"/>
      <c r="E17" s="185"/>
      <c r="F17" s="134"/>
      <c r="G17" s="131"/>
      <c r="H17" s="131"/>
      <c r="I17" s="131"/>
      <c r="J17" s="135"/>
      <c r="L17" s="74">
        <v>501</v>
      </c>
      <c r="M17" s="75">
        <v>1500</v>
      </c>
      <c r="N17" s="76">
        <v>1.7999999999999999E-2</v>
      </c>
      <c r="O17" s="2">
        <f>IF(L17&lt;=$E$7,MIN($E$7-N(M16),M17-N(M16))*N17,0)</f>
        <v>18</v>
      </c>
      <c r="P17" s="77" t="s">
        <v>49</v>
      </c>
      <c r="Q17" s="110">
        <v>3.5164</v>
      </c>
      <c r="R17" s="113">
        <v>9.3339999999999996</v>
      </c>
      <c r="U17" s="108"/>
      <c r="V17" s="108"/>
    </row>
    <row r="18" spans="1:22" ht="19.5" customHeight="1" x14ac:dyDescent="0.4">
      <c r="A18" s="117"/>
      <c r="B18" s="81"/>
      <c r="C18" s="82"/>
      <c r="F18" s="134"/>
      <c r="G18" s="131"/>
      <c r="H18" s="131"/>
      <c r="I18" s="131"/>
      <c r="J18" s="135"/>
      <c r="L18" s="74">
        <v>1501</v>
      </c>
      <c r="M18" s="80">
        <v>1000000</v>
      </c>
      <c r="N18" s="76">
        <v>1.2E-2</v>
      </c>
      <c r="O18" s="2">
        <f>IF(L18&lt;=$E$7,MIN($E$7-N(M17),M18-N(M17))*N18,0)</f>
        <v>34.800000000000004</v>
      </c>
      <c r="P18" s="77" t="s">
        <v>51</v>
      </c>
      <c r="Q18" s="110">
        <v>2.6727999999999996</v>
      </c>
      <c r="R18" s="113">
        <v>6.7119999999999997</v>
      </c>
      <c r="U18" s="108"/>
      <c r="V18" s="108"/>
    </row>
    <row r="19" spans="1:22" ht="19.5" customHeight="1" thickBot="1" x14ac:dyDescent="0.45">
      <c r="A19" s="117"/>
      <c r="B19" s="85" t="s">
        <v>50</v>
      </c>
      <c r="C19" s="86"/>
      <c r="F19" s="134"/>
      <c r="G19" s="131"/>
      <c r="H19" s="131"/>
      <c r="I19" s="131"/>
      <c r="J19" s="135"/>
      <c r="L19" s="83"/>
      <c r="M19" s="84"/>
      <c r="N19" s="51" t="s">
        <v>48</v>
      </c>
      <c r="O19" s="51">
        <f>SUM(O16:O18)</f>
        <v>64.800000000000011</v>
      </c>
      <c r="P19" s="77" t="s">
        <v>57</v>
      </c>
      <c r="Q19" s="110">
        <v>2.4985999999999997</v>
      </c>
      <c r="R19" s="113">
        <v>6.6529999999999996</v>
      </c>
      <c r="U19" s="108"/>
      <c r="V19" s="108"/>
    </row>
    <row r="20" spans="1:22" ht="19.5" customHeight="1" thickBot="1" x14ac:dyDescent="0.45">
      <c r="A20" s="117"/>
      <c r="B20" s="107" t="s">
        <v>52</v>
      </c>
      <c r="C20" s="91">
        <f>VLOOKUP($B$20,$P$16:$Q$28,2)</f>
        <v>2.7522000000000002</v>
      </c>
      <c r="F20" s="134"/>
      <c r="G20" s="131"/>
      <c r="H20" s="131"/>
      <c r="I20" s="131"/>
      <c r="J20" s="135"/>
      <c r="L20" s="87"/>
      <c r="M20" s="88"/>
      <c r="N20" s="88"/>
      <c r="O20" s="89"/>
      <c r="P20" s="90" t="s">
        <v>58</v>
      </c>
      <c r="Q20" s="110">
        <v>2.2008000000000001</v>
      </c>
      <c r="R20" s="113">
        <v>5.556</v>
      </c>
      <c r="U20" s="108"/>
      <c r="V20" s="108"/>
    </row>
    <row r="21" spans="1:22" ht="19.5" customHeight="1" thickBot="1" x14ac:dyDescent="0.45">
      <c r="A21" s="117"/>
      <c r="F21" s="136"/>
      <c r="G21" s="137"/>
      <c r="H21" s="137"/>
      <c r="I21" s="137"/>
      <c r="J21" s="138"/>
      <c r="L21" s="186" t="s">
        <v>53</v>
      </c>
      <c r="M21" s="187"/>
      <c r="N21" s="92"/>
      <c r="O21" s="89"/>
      <c r="P21" s="93" t="s">
        <v>54</v>
      </c>
      <c r="Q21" s="110">
        <v>1.8233999999999995</v>
      </c>
      <c r="R21" s="113">
        <v>5.012999999999999</v>
      </c>
      <c r="U21" s="108"/>
      <c r="V21" s="108"/>
    </row>
    <row r="22" spans="1:22" ht="18" customHeight="1" thickBot="1" x14ac:dyDescent="0.45">
      <c r="A22" s="117"/>
      <c r="L22" s="94" t="s">
        <v>55</v>
      </c>
      <c r="M22" s="48" t="s">
        <v>56</v>
      </c>
      <c r="N22" s="88"/>
      <c r="O22" s="89"/>
      <c r="P22" s="93" t="s">
        <v>59</v>
      </c>
      <c r="Q22" s="110">
        <v>2.6943999999999999</v>
      </c>
      <c r="R22" s="113">
        <v>7.2879999999999994</v>
      </c>
      <c r="U22" s="108"/>
      <c r="V22" s="108"/>
    </row>
    <row r="23" spans="1:22" ht="18" customHeight="1" x14ac:dyDescent="0.4">
      <c r="A23" s="117"/>
      <c r="F23" s="188" t="s">
        <v>65</v>
      </c>
      <c r="G23" s="188"/>
      <c r="H23" s="188"/>
      <c r="I23" s="188"/>
      <c r="J23" s="188"/>
      <c r="L23" s="95">
        <v>10</v>
      </c>
      <c r="M23" s="96">
        <v>7.5</v>
      </c>
      <c r="N23" s="88"/>
      <c r="O23" s="89"/>
      <c r="P23" s="93" t="s">
        <v>52</v>
      </c>
      <c r="Q23" s="110">
        <v>2.7522000000000002</v>
      </c>
      <c r="R23" s="113">
        <v>7.5329999999999995</v>
      </c>
      <c r="U23" s="108"/>
      <c r="V23" s="108"/>
    </row>
    <row r="24" spans="1:22" ht="18" customHeight="1" x14ac:dyDescent="0.4">
      <c r="A24" s="117"/>
      <c r="L24" s="95">
        <v>20</v>
      </c>
      <c r="M24" s="96">
        <v>6.5</v>
      </c>
      <c r="N24" s="88"/>
      <c r="O24" s="89"/>
      <c r="P24" s="93" t="s">
        <v>45</v>
      </c>
      <c r="Q24" s="110">
        <v>2.8124000000000002</v>
      </c>
      <c r="R24" s="113">
        <v>6.9380000000000006</v>
      </c>
      <c r="U24" s="108"/>
      <c r="V24" s="108"/>
    </row>
    <row r="25" spans="1:22" ht="18" customHeight="1" x14ac:dyDescent="0.4">
      <c r="A25" s="117"/>
      <c r="B25" s="8"/>
      <c r="L25" s="95">
        <v>30</v>
      </c>
      <c r="M25" s="96">
        <v>5</v>
      </c>
      <c r="N25" s="88"/>
      <c r="O25" s="89"/>
      <c r="P25" s="93" t="s">
        <v>66</v>
      </c>
      <c r="Q25" s="110">
        <v>2.5329999999999999</v>
      </c>
      <c r="R25" s="113">
        <v>6.3129999999999997</v>
      </c>
      <c r="U25" s="108"/>
      <c r="V25" s="108"/>
    </row>
    <row r="26" spans="1:22" ht="18" customHeight="1" x14ac:dyDescent="0.4">
      <c r="A26" s="117"/>
      <c r="L26" s="95">
        <v>40</v>
      </c>
      <c r="M26" s="96">
        <v>4</v>
      </c>
      <c r="N26" s="88"/>
      <c r="O26" s="89"/>
      <c r="P26" s="93" t="s">
        <v>47</v>
      </c>
      <c r="Q26" s="110">
        <v>3.2169999999999987</v>
      </c>
      <c r="R26" s="113">
        <v>8.6529999999999987</v>
      </c>
      <c r="U26" s="108"/>
      <c r="V26" s="108"/>
    </row>
    <row r="27" spans="1:22" ht="18" customHeight="1" x14ac:dyDescent="0.4">
      <c r="A27" s="117"/>
      <c r="L27" s="97">
        <v>50</v>
      </c>
      <c r="M27" s="98">
        <v>3.5</v>
      </c>
      <c r="N27" s="88"/>
      <c r="O27" s="89"/>
      <c r="P27" s="93" t="s">
        <v>60</v>
      </c>
      <c r="Q27" s="110">
        <v>2.1257999999999995</v>
      </c>
      <c r="R27" s="113">
        <v>5.5169999999999995</v>
      </c>
      <c r="U27" s="108"/>
      <c r="V27" s="108"/>
    </row>
    <row r="28" spans="1:22" ht="18" customHeight="1" thickBot="1" x14ac:dyDescent="0.45">
      <c r="A28" s="117"/>
      <c r="L28" s="99">
        <v>100</v>
      </c>
      <c r="M28" s="100">
        <v>3</v>
      </c>
      <c r="N28" s="101"/>
      <c r="O28" s="102"/>
      <c r="P28" s="103" t="s">
        <v>61</v>
      </c>
      <c r="Q28" s="111">
        <v>2.4499999999999993</v>
      </c>
      <c r="R28" s="114">
        <v>6.2659999999999991</v>
      </c>
      <c r="U28" s="108"/>
      <c r="V28" s="108"/>
    </row>
  </sheetData>
  <sheetProtection algorithmName="SHA-512" hashValue="HDyLPIWovVipncnC7HDrFksNi9FbrtO6K+Ud2dW/nJ7QJrbu2kS/XRGhA0hZLVdYcJ43CweKt5VAke0LdmiogA==" saltValue="/3biKifukbt8ze9QpyiRRg==" spinCount="100000" sheet="1" objects="1" scenarios="1"/>
  <mergeCells count="35">
    <mergeCell ref="A2:A28"/>
    <mergeCell ref="B2:E2"/>
    <mergeCell ref="G6:H6"/>
    <mergeCell ref="L6:N7"/>
    <mergeCell ref="D17:E17"/>
    <mergeCell ref="H9:J9"/>
    <mergeCell ref="I4:J4"/>
    <mergeCell ref="I5:J5"/>
    <mergeCell ref="I6:J6"/>
    <mergeCell ref="I7:J7"/>
    <mergeCell ref="F23:J23"/>
    <mergeCell ref="Q2:R2"/>
    <mergeCell ref="C3:E3"/>
    <mergeCell ref="I3:J3"/>
    <mergeCell ref="Q4:R4"/>
    <mergeCell ref="G5:H5"/>
    <mergeCell ref="Q5:R5"/>
    <mergeCell ref="M1:M2"/>
    <mergeCell ref="N1:N2"/>
    <mergeCell ref="O1:O2"/>
    <mergeCell ref="P1:P2"/>
    <mergeCell ref="L1:L2"/>
    <mergeCell ref="Q10:R10"/>
    <mergeCell ref="L14:O14"/>
    <mergeCell ref="Q6:R6"/>
    <mergeCell ref="G7:H7"/>
    <mergeCell ref="Q7:R7"/>
    <mergeCell ref="O8:O9"/>
    <mergeCell ref="P8:P9"/>
    <mergeCell ref="Q8:R9"/>
    <mergeCell ref="I13:J13"/>
    <mergeCell ref="F14:J21"/>
    <mergeCell ref="P14:Q14"/>
    <mergeCell ref="G10:J10"/>
    <mergeCell ref="L21:M21"/>
  </mergeCells>
  <conditionalFormatting sqref="G9:H9 P10:Q10">
    <cfRule type="cellIs" dxfId="19" priority="3" operator="lessThan">
      <formula>0</formula>
    </cfRule>
  </conditionalFormatting>
  <conditionalFormatting sqref="I5:I6">
    <cfRule type="cellIs" dxfId="18" priority="1" operator="greaterThan">
      <formula>0</formula>
    </cfRule>
    <cfRule type="cellIs" dxfId="17" priority="2" operator="lessThan">
      <formula>0</formula>
    </cfRule>
  </conditionalFormatting>
  <conditionalFormatting sqref="I7">
    <cfRule type="cellIs" dxfId="16" priority="9" operator="lessThan">
      <formula>0</formula>
    </cfRule>
  </conditionalFormatting>
  <conditionalFormatting sqref="L21">
    <cfRule type="cellIs" dxfId="15" priority="6" operator="lessThan">
      <formula>0</formula>
    </cfRule>
  </conditionalFormatting>
  <conditionalFormatting sqref="L22:M22">
    <cfRule type="cellIs" dxfId="14" priority="5" operator="lessThan">
      <formula>0</formula>
    </cfRule>
  </conditionalFormatting>
  <conditionalFormatting sqref="L5:P5 O6:P8">
    <cfRule type="cellIs" dxfId="13" priority="10" operator="greaterThan">
      <formula>0</formula>
    </cfRule>
    <cfRule type="cellIs" dxfId="12" priority="11" operator="lessThan">
      <formula>0</formula>
    </cfRule>
  </conditionalFormatting>
  <conditionalFormatting sqref="N19:O19">
    <cfRule type="cellIs" dxfId="11" priority="4" operator="lessThan">
      <formula>0</formula>
    </cfRule>
  </conditionalFormatting>
  <conditionalFormatting sqref="P16:P28">
    <cfRule type="cellIs" dxfId="10" priority="18" operator="equal">
      <formula>$B$20</formula>
    </cfRule>
    <cfRule type="cellIs" dxfId="9" priority="19" operator="equal">
      <formula>$B$20</formula>
    </cfRule>
  </conditionalFormatting>
  <conditionalFormatting sqref="S11">
    <cfRule type="cellIs" dxfId="8" priority="7" operator="lessThan">
      <formula>0</formula>
    </cfRule>
  </conditionalFormatting>
  <dataValidations count="1">
    <dataValidation type="list" allowBlank="1" showInputMessage="1" showErrorMessage="1" sqref="B20" xr:uid="{00000000-0002-0000-0100-000000000000}">
      <formula1>$P$16:$P$28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Kompakt2025</vt:lpstr>
      <vt:lpstr>Details2025</vt:lpstr>
      <vt:lpstr>Kompakt2024</vt:lpstr>
      <vt:lpstr>Details2024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>Markus Lafer</cp:lastModifiedBy>
  <cp:revision/>
  <cp:lastPrinted>2024-05-28T11:45:31Z</cp:lastPrinted>
  <dcterms:created xsi:type="dcterms:W3CDTF">2023-05-18T03:21:04Z</dcterms:created>
  <dcterms:modified xsi:type="dcterms:W3CDTF">2024-11-07T12:28:45Z</dcterms:modified>
  <cp:category/>
  <cp:contentStatus/>
</cp:coreProperties>
</file>